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180" windowWidth="12000" windowHeight="6360" tabRatio="514" activeTab="2"/>
  </bookViews>
  <sheets>
    <sheet name="Instructions" sheetId="1" r:id="rId1"/>
    <sheet name="Fuel Oil " sheetId="2" r:id="rId2"/>
    <sheet name="Waste Oil" sheetId="3" r:id="rId3"/>
    <sheet name="Natural Gas" sheetId="4" r:id="rId4"/>
    <sheet name="Propane" sheetId="5" r:id="rId5"/>
  </sheets>
  <definedNames/>
  <calcPr fullCalcOnLoad="1"/>
</workbook>
</file>

<file path=xl/sharedStrings.xml><?xml version="1.0" encoding="utf-8"?>
<sst xmlns="http://schemas.openxmlformats.org/spreadsheetml/2006/main" count="303" uniqueCount="131">
  <si>
    <t>Potential to Emit</t>
  </si>
  <si>
    <t>Btu = British thermal unit</t>
  </si>
  <si>
    <t xml:space="preserve"> </t>
  </si>
  <si>
    <t>B</t>
  </si>
  <si>
    <t>C</t>
  </si>
  <si>
    <t>D</t>
  </si>
  <si>
    <t>E</t>
  </si>
  <si>
    <t>F</t>
  </si>
  <si>
    <t>G</t>
  </si>
  <si>
    <t>VOC</t>
  </si>
  <si>
    <t>CO</t>
  </si>
  <si>
    <t>PM</t>
  </si>
  <si>
    <t>PM10</t>
  </si>
  <si>
    <t>Pb</t>
  </si>
  <si>
    <t>ton/yr</t>
  </si>
  <si>
    <t>B X .005 / 2000</t>
  </si>
  <si>
    <t>ton/year</t>
  </si>
  <si>
    <r>
      <t>scf = standard cubic foot = ft</t>
    </r>
    <r>
      <rPr>
        <vertAlign val="superscript"/>
        <sz val="10"/>
        <rFont val="Arial"/>
        <family val="2"/>
      </rPr>
      <t>3</t>
    </r>
  </si>
  <si>
    <t>heat value of natural gas is 1050 Btu/scf</t>
  </si>
  <si>
    <r>
      <t>ft</t>
    </r>
    <r>
      <rPr>
        <vertAlign val="superscript"/>
        <sz val="10"/>
        <rFont val="Arial"/>
        <family val="2"/>
      </rPr>
      <t xml:space="preserve">3 </t>
    </r>
    <r>
      <rPr>
        <sz val="10"/>
        <rFont val="Arial"/>
        <family val="0"/>
      </rPr>
      <t>burned/yr</t>
    </r>
  </si>
  <si>
    <t>Lead</t>
  </si>
  <si>
    <t>natural gas</t>
  </si>
  <si>
    <t>B X .0000006 / 2000</t>
  </si>
  <si>
    <t>B X .0001 / 2000</t>
  </si>
  <si>
    <t>B X .0000055 / 2000</t>
  </si>
  <si>
    <t>Enter size of unit in Btu/hr</t>
  </si>
  <si>
    <t>H</t>
  </si>
  <si>
    <t>I</t>
  </si>
  <si>
    <t>NOx</t>
  </si>
  <si>
    <r>
      <t>PM</t>
    </r>
    <r>
      <rPr>
        <b/>
        <vertAlign val="subscript"/>
        <sz val="10"/>
        <rFont val="Arial"/>
        <family val="2"/>
      </rPr>
      <t>10</t>
    </r>
  </si>
  <si>
    <r>
      <t>SO</t>
    </r>
    <r>
      <rPr>
        <b/>
        <vertAlign val="subscript"/>
        <sz val="10"/>
        <rFont val="Arial"/>
        <family val="2"/>
      </rPr>
      <t>2</t>
    </r>
  </si>
  <si>
    <t>Emission factors are from EPA's AP42, 10/96.</t>
  </si>
  <si>
    <t xml:space="preserve">From EPA document  AP42  1.5: </t>
  </si>
  <si>
    <t>gal/hr</t>
  </si>
  <si>
    <t>B X .000084/2000</t>
  </si>
  <si>
    <t>B X .0000076/2000</t>
  </si>
  <si>
    <t>B X .0000000005/2000</t>
  </si>
  <si>
    <t>Enter sulfur content as a percent (S)</t>
  </si>
  <si>
    <t>Total PTE</t>
  </si>
  <si>
    <t>na</t>
  </si>
  <si>
    <t>Potential Emissions</t>
  </si>
  <si>
    <t xml:space="preserve"> Enter Btu/hr maximum heat input</t>
  </si>
  <si>
    <t>propane</t>
  </si>
  <si>
    <r>
      <t xml:space="preserve"> </t>
    </r>
    <r>
      <rPr>
        <sz val="10"/>
        <rFont val="Arial"/>
        <family val="0"/>
      </rPr>
      <t>gal. burned/yr</t>
    </r>
  </si>
  <si>
    <t>Heat value of waste oil is 137,500 Btu/gal.</t>
  </si>
  <si>
    <t>waste oil</t>
  </si>
  <si>
    <t>B X .147S / 2000</t>
  </si>
  <si>
    <t>B X .019 / 2000</t>
  </si>
  <si>
    <t>B X .051A / 2000</t>
  </si>
  <si>
    <t>B X .055L / 2000</t>
  </si>
  <si>
    <t>Enter lead content as a percent (L)</t>
  </si>
  <si>
    <t>% by weight</t>
  </si>
  <si>
    <t>Heat Value</t>
  </si>
  <si>
    <t>Emission Factors (EF)</t>
  </si>
  <si>
    <t>Emissions factors from AP-42 1.3 &lt;10 MMBtu/hr units</t>
  </si>
  <si>
    <t>&lt;10 million Btu/hr</t>
  </si>
  <si>
    <t>10-100 million Btu/hr</t>
  </si>
  <si>
    <r>
      <t>Sulfur content = 1.8 grains per 1000 ft</t>
    </r>
    <r>
      <rPr>
        <vertAlign val="superscript"/>
        <sz val="10"/>
        <rFont val="Arial"/>
        <family val="2"/>
      </rPr>
      <t>3</t>
    </r>
    <r>
      <rPr>
        <sz val="10"/>
        <rFont val="Arial"/>
        <family val="0"/>
      </rPr>
      <t xml:space="preserve"> = 0.2 grains/100 ft</t>
    </r>
    <r>
      <rPr>
        <vertAlign val="superscript"/>
        <sz val="10"/>
        <rFont val="Arial"/>
        <family val="2"/>
      </rPr>
      <t>3</t>
    </r>
    <r>
      <rPr>
        <sz val="10"/>
        <rFont val="Arial"/>
        <family val="0"/>
      </rPr>
      <t xml:space="preserve"> = 0.2%</t>
    </r>
  </si>
  <si>
    <t>%</t>
  </si>
  <si>
    <t>lb/gallons burned</t>
  </si>
  <si>
    <t>91,500 Btu/gal</t>
  </si>
  <si>
    <t>B X EF / 2000</t>
  </si>
  <si>
    <t>SO2</t>
  </si>
  <si>
    <t>Enter fuel type</t>
  </si>
  <si>
    <t>No. 1 Fuel Oil</t>
  </si>
  <si>
    <t>No. 2 Fuel Oil</t>
  </si>
  <si>
    <t>No. 5 Fuel Oil</t>
  </si>
  <si>
    <t>No. 6 Fuel Oil</t>
  </si>
  <si>
    <t>Heat value of the fuel</t>
  </si>
  <si>
    <t>Btu/gal</t>
  </si>
  <si>
    <t>B X .064A / 2000</t>
  </si>
  <si>
    <t>NOX</t>
  </si>
  <si>
    <t>1(877)253-2603 or (402)471-2189</t>
  </si>
  <si>
    <t>v. March 05</t>
  </si>
  <si>
    <t>1(800)253-2603 or (402)471-2189</t>
  </si>
  <si>
    <t>For assistance call NDEQ</t>
  </si>
  <si>
    <t>and Actual Emissions from Boilers</t>
  </si>
  <si>
    <t>Step 1</t>
  </si>
  <si>
    <t>Open the spreadsheet by double clicking on it.  A prompt will appear asking you Disable Macros, Enable Macros or More Info.  You will need to “Enable Macros” to utilize this spreadsheet.</t>
  </si>
  <si>
    <t>Step 2</t>
  </si>
  <si>
    <t>Pick the appropriate spreadsheets that represent the fuels your boiler is capable of burning (including backup fuels).</t>
  </si>
  <si>
    <t>Step 3</t>
  </si>
  <si>
    <t>Enter the BTU/hour rating of the burner in the appropriate field at the top of the spreadsheet.  If applicable, enter the sulfur content or ash content of the fuel. The potential emissions will then be automatically calculated.</t>
  </si>
  <si>
    <t>Step 4</t>
  </si>
  <si>
    <t>If your boiler can use multiple fuels, you must compare the worst case fuel per pollutant with the permitting threshold. For example, natural gas generally has the highest NOx emissions while fuel oil has the highest SO2 emissions. Therefore, you would compare the natural gas PTE to the NOx permitting threshold and the fuel oil PTE to the SO2 permitting threshold.</t>
  </si>
  <si>
    <t>Step 5</t>
  </si>
  <si>
    <t>To determine your operating permit status, it may be necessary to calculate your actual emissions.  In the actual emissions section, enter either the hours/year the boiler operated or the total amount of fuel burned/year.</t>
  </si>
  <si>
    <t>Step 6</t>
  </si>
  <si>
    <t>gallons burned/yr of</t>
  </si>
  <si>
    <t>Sulfur Dioxide (SO2)</t>
  </si>
  <si>
    <t>Btu/hr</t>
  </si>
  <si>
    <t>gal/yr</t>
  </si>
  <si>
    <t xml:space="preserve">weight percent </t>
  </si>
  <si>
    <t>Nitrogen Oxides (NOX)</t>
  </si>
  <si>
    <t>Volatile Organic 
Compounds (VOC)</t>
  </si>
  <si>
    <t>Carbon Monoxide (CO)</t>
  </si>
  <si>
    <t>Particulate Matter (PM)</t>
  </si>
  <si>
    <t>Particulate Matter 
&lt;10 microns (PM10)</t>
  </si>
  <si>
    <t>Lead (Pb)</t>
  </si>
  <si>
    <t>FILL IN BLUE BOXES</t>
  </si>
  <si>
    <r>
      <t xml:space="preserve">gal/hr for unit = </t>
    </r>
    <r>
      <rPr>
        <sz val="10"/>
        <color indexed="14"/>
        <rFont val="Times New Roman"/>
        <family val="1"/>
      </rPr>
      <t>Btu/hr X 1 gal/Heat Value</t>
    </r>
  </si>
  <si>
    <r>
      <t xml:space="preserve">gal/yr for unit = </t>
    </r>
    <r>
      <rPr>
        <sz val="10"/>
        <color indexed="14"/>
        <rFont val="Times New Roman"/>
        <family val="1"/>
      </rPr>
      <t>gal/hr for unit X 8760 hr/yr</t>
    </r>
  </si>
  <si>
    <t>Boxes Highlighted in YELLOW show your Potential to Emit for Each Pollutant</t>
  </si>
  <si>
    <r>
      <t>gal/hr</t>
    </r>
    <r>
      <rPr>
        <sz val="10"/>
        <rFont val="Times New Roman"/>
        <family val="1"/>
      </rPr>
      <t xml:space="preserve"> for unit = </t>
    </r>
    <r>
      <rPr>
        <sz val="10"/>
        <color indexed="14"/>
        <rFont val="Times New Roman"/>
        <family val="1"/>
      </rPr>
      <t>Btu/hr X 1 gal/137,500 Btu</t>
    </r>
  </si>
  <si>
    <r>
      <t>gal/yr</t>
    </r>
    <r>
      <rPr>
        <sz val="10"/>
        <rFont val="Times New Roman"/>
        <family val="1"/>
      </rPr>
      <t xml:space="preserve"> for unit = </t>
    </r>
    <r>
      <rPr>
        <sz val="10"/>
        <color indexed="14"/>
        <rFont val="Times New Roman"/>
        <family val="1"/>
      </rPr>
      <t>gal/hr for unit X 8760 hr/yr</t>
    </r>
  </si>
  <si>
    <t>Waste Oil Small Boiler Air Emissions</t>
  </si>
  <si>
    <t>Fuel Oil #1, #2, #5, &amp; #6  Air Emissions</t>
  </si>
  <si>
    <t>Emissions factors from AP - 42 Fifth Edition, Volume 1 Section 1.11</t>
  </si>
  <si>
    <r>
      <t>ft</t>
    </r>
    <r>
      <rPr>
        <vertAlign val="superscript"/>
        <sz val="10"/>
        <rFont val="Arial"/>
        <family val="0"/>
      </rPr>
      <t>3</t>
    </r>
    <r>
      <rPr>
        <sz val="10"/>
        <rFont val="Arial"/>
        <family val="0"/>
      </rPr>
      <t xml:space="preserve">/hr </t>
    </r>
    <r>
      <rPr>
        <sz val="10"/>
        <color indexed="14"/>
        <rFont val="Arial"/>
        <family val="2"/>
      </rPr>
      <t>Btu/hr X 1 ft3/1050 Btu</t>
    </r>
  </si>
  <si>
    <r>
      <t>ft</t>
    </r>
    <r>
      <rPr>
        <vertAlign val="superscript"/>
        <sz val="10"/>
        <rFont val="Arial"/>
        <family val="0"/>
      </rPr>
      <t>3</t>
    </r>
    <r>
      <rPr>
        <sz val="10"/>
        <rFont val="Arial"/>
        <family val="0"/>
      </rPr>
      <t xml:space="preserve">/year  </t>
    </r>
    <r>
      <rPr>
        <sz val="10"/>
        <color indexed="14"/>
        <rFont val="Arial"/>
        <family val="2"/>
      </rPr>
      <t>ft3/hr X 8760 hr/yr</t>
    </r>
  </si>
  <si>
    <t>ft3/hr</t>
  </si>
  <si>
    <t>ft3/yr</t>
  </si>
  <si>
    <t>Emissions factors from AP - 42 Fifth Edition, Volume 1 Section 1.4</t>
  </si>
  <si>
    <t>Propane Air Emissions</t>
  </si>
  <si>
    <r>
      <t xml:space="preserve">gal/hr </t>
    </r>
    <r>
      <rPr>
        <sz val="10"/>
        <color indexed="14"/>
        <rFont val="Arial"/>
        <family val="2"/>
      </rPr>
      <t>Btu/hr X gal/91500 Btu</t>
    </r>
  </si>
  <si>
    <r>
      <t xml:space="preserve">gal/year </t>
    </r>
    <r>
      <rPr>
        <sz val="10"/>
        <color indexed="14"/>
        <rFont val="Arial"/>
        <family val="2"/>
      </rPr>
      <t>ft3/hr X 8760 hr/yr</t>
    </r>
  </si>
  <si>
    <t>Fill in BLUE Boxes</t>
  </si>
  <si>
    <t>These Emission factors may also be used for Boilers &gt; 10 MMBtu/hr because the Emission Factors are very similar, but the small boiler Emission Factors are slightly more conservative</t>
  </si>
  <si>
    <t>Natural Gas Air Emissions  (Small Wall-Fired Boilers &lt; 100 MMBtu/hr)</t>
  </si>
  <si>
    <t>Natural Gas Air Emissions  (Large Wall-Fired Boilers &gt; 100 MMBtu/hr)</t>
  </si>
  <si>
    <t xml:space="preserve">Emissions factors from AP - 42 Fifth Edition, Volume 1 </t>
  </si>
  <si>
    <t>B X .00028 / 2000</t>
  </si>
  <si>
    <t xml:space="preserve"> Instructions for Spreadsheets Calculating the Potential to Emit (PTE)</t>
  </si>
  <si>
    <t>Text in FUCHSIA shows the Equation being performed to calculate that particular value</t>
  </si>
  <si>
    <t>Sulfur Content</t>
  </si>
  <si>
    <t>These spreadsheets are designed to help you determine the potential to emit and actual emissions from your boilers for all different types of fuels (diesel or fuel oils, waste oil, natural gas, propane, and wood materials).</t>
  </si>
  <si>
    <t xml:space="preserve">If the boiler is your only emissions unit, compare the PTEs with the permitting thresholds found in Title 129 Chapters 5 or 17, whichever is applicable. If you have other emission units you will have to add the emission values together by pollutant and then compare the values to the permitting thresholds. If your values exceed any of the thresholds, you will need an air construction permit.  </t>
  </si>
  <si>
    <t>Emission Factors (EF) lb/gallon</t>
  </si>
  <si>
    <t>Enter maximum ash content as a percent (A)</t>
  </si>
  <si>
    <r>
      <t>Note:</t>
    </r>
    <r>
      <rPr>
        <sz val="12"/>
        <rFont val="Times New Roman"/>
        <family val="1"/>
      </rPr>
      <t xml:space="preserve">  The emission factors used in this spreadsheet are generally assumed to be representative of long-term average emission rates and may not accurately represent emissions at your particular facility.  The use of more representative emission factors obtained from stack tests or continuous monitoring systems (CEMS) is recommended when available.  Contact the Air Quality Division if you have questions regarding the suitability of emission factors for your particular source.</t>
    </r>
  </si>
  <si>
    <t>Save a copy of your maximum potential emission calculations electronically and as a printout.  If you need to apply for a permit, please submit a copy of your calculations with your permit application.  Please note that if your operations change, you will have to reevaluate if you need an air quality permit.  If you have any questions, please call the Air Quality Division at (877) 834-0474 or (402) 471-2189.</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</si>
</sst>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000"/>
    <numFmt numFmtId="167" formatCode="0.0000000"/>
    <numFmt numFmtId="168" formatCode="0.000000"/>
    <numFmt numFmtId="169" formatCode="0.00000"/>
    <numFmt numFmtId="170" formatCode="0.0000"/>
    <numFmt numFmtId="171" formatCode="0.0000000000"/>
    <numFmt numFmtId="172" formatCode="0.00000000000"/>
    <numFmt numFmtId="173" formatCode="0.000000000"/>
    <numFmt numFmtId="174" formatCode="0.00000000000000"/>
    <numFmt numFmtId="175" formatCode="0.0000000000000"/>
    <numFmt numFmtId="176" formatCode="0.000000000000"/>
    <numFmt numFmtId="177" formatCode="&quot;Yes&quot;;&quot;Yes&quot;;&quot;No&quot;"/>
    <numFmt numFmtId="178" formatCode="&quot;True&quot;;&quot;True&quot;;&quot;False&quot;"/>
    <numFmt numFmtId="179" formatCode="&quot;On&quot;;&quot;On&quot;;&quot;Off&quot;"/>
  </numFmts>
  <fonts count="34">
    <font>
      <sz val="10"/>
      <name val="Arial"/>
      <family val="0"/>
    </font>
    <font>
      <b/>
      <sz val="10"/>
      <name val="Arial"/>
      <family val="0"/>
    </font>
    <font>
      <i/>
      <sz val="10"/>
      <name val="Arial"/>
      <family val="0"/>
    </font>
    <font>
      <b/>
      <i/>
      <sz val="10"/>
      <name val="Arial"/>
      <family val="0"/>
    </font>
    <font>
      <b/>
      <sz val="10"/>
      <color indexed="56"/>
      <name val="Arial"/>
      <family val="2"/>
    </font>
    <font>
      <b/>
      <sz val="12"/>
      <name val="Arial"/>
      <family val="0"/>
    </font>
    <font>
      <vertAlign val="superscript"/>
      <sz val="10"/>
      <name val="Arial"/>
      <family val="2"/>
    </font>
    <font>
      <b/>
      <sz val="10"/>
      <color indexed="12"/>
      <name val="Arial"/>
      <family val="2"/>
    </font>
    <font>
      <b/>
      <vertAlign val="subscript"/>
      <sz val="10"/>
      <name val="Arial"/>
      <family val="2"/>
    </font>
    <font>
      <sz val="10"/>
      <color indexed="12"/>
      <name val="Arial"/>
      <family val="2"/>
    </font>
    <font>
      <sz val="8"/>
      <name val="Arial"/>
      <family val="2"/>
    </font>
    <font>
      <sz val="9"/>
      <name val="Arial"/>
      <family val="2"/>
    </font>
    <font>
      <sz val="8"/>
      <name val="Tahoma"/>
      <family val="2"/>
    </font>
    <font>
      <u val="single"/>
      <sz val="6"/>
      <color indexed="12"/>
      <name val="Arial"/>
      <family val="0"/>
    </font>
    <font>
      <u val="single"/>
      <sz val="6"/>
      <color indexed="36"/>
      <name val="Arial"/>
      <family val="0"/>
    </font>
    <font>
      <b/>
      <sz val="10"/>
      <name val="Times New Roman"/>
      <family val="1"/>
    </font>
    <font>
      <sz val="10"/>
      <name val="Times New Roman"/>
      <family val="1"/>
    </font>
    <font>
      <b/>
      <sz val="10"/>
      <color indexed="10"/>
      <name val="Times New Roman"/>
      <family val="1"/>
    </font>
    <font>
      <b/>
      <sz val="10"/>
      <color indexed="56"/>
      <name val="Times New Roman"/>
      <family val="1"/>
    </font>
    <font>
      <b/>
      <sz val="10"/>
      <color indexed="12"/>
      <name val="Times New Roman"/>
      <family val="1"/>
    </font>
    <font>
      <sz val="12"/>
      <name val="Times New Roman"/>
      <family val="1"/>
    </font>
    <font>
      <b/>
      <sz val="12"/>
      <name val="Times New Roman"/>
      <family val="1"/>
    </font>
    <font>
      <b/>
      <u val="single"/>
      <sz val="12"/>
      <name val="Times New Roman"/>
      <family val="1"/>
    </font>
    <font>
      <b/>
      <sz val="14"/>
      <name val="Times New Roman"/>
      <family val="1"/>
    </font>
    <font>
      <sz val="10"/>
      <color indexed="14"/>
      <name val="Times New Roman"/>
      <family val="1"/>
    </font>
    <font>
      <b/>
      <sz val="10"/>
      <color indexed="14"/>
      <name val="Times New Roman"/>
      <family val="1"/>
    </font>
    <font>
      <b/>
      <sz val="14"/>
      <color indexed="14"/>
      <name val="Times New Roman"/>
      <family val="1"/>
    </font>
    <font>
      <sz val="14"/>
      <name val="Times New Roman"/>
      <family val="1"/>
    </font>
    <font>
      <b/>
      <sz val="10"/>
      <color indexed="14"/>
      <name val="Arial"/>
      <family val="2"/>
    </font>
    <font>
      <sz val="10"/>
      <color indexed="14"/>
      <name val="Arial"/>
      <family val="2"/>
    </font>
    <font>
      <sz val="9"/>
      <color indexed="14"/>
      <name val="Arial"/>
      <family val="2"/>
    </font>
    <font>
      <b/>
      <sz val="16"/>
      <name val="Arial"/>
      <family val="2"/>
    </font>
    <font>
      <b/>
      <sz val="18"/>
      <name val="Arial"/>
      <family val="2"/>
    </font>
    <font>
      <b/>
      <sz val="12"/>
      <color indexed="10"/>
      <name val="Times New Roman"/>
      <family val="1"/>
    </font>
  </fonts>
  <fills count="6">
    <fill>
      <patternFill/>
    </fill>
    <fill>
      <patternFill patternType="gray125"/>
    </fill>
    <fill>
      <patternFill patternType="solid">
        <fgColor indexed="22"/>
        <bgColor indexed="64"/>
      </patternFill>
    </fill>
    <fill>
      <patternFill patternType="solid">
        <fgColor indexed="15"/>
        <bgColor indexed="64"/>
      </patternFill>
    </fill>
    <fill>
      <patternFill patternType="solid">
        <fgColor indexed="41"/>
        <bgColor indexed="64"/>
      </patternFill>
    </fill>
    <fill>
      <patternFill patternType="solid">
        <fgColor indexed="43"/>
        <bgColor indexed="64"/>
      </patternFill>
    </fill>
  </fills>
  <borders count="9">
    <border>
      <left/>
      <right/>
      <top/>
      <bottom/>
      <diagonal/>
    </border>
    <border>
      <left style="thin"/>
      <right style="thin"/>
      <top>
        <color indexed="63"/>
      </top>
      <bottom>
        <color indexed="63"/>
      </bottom>
    </border>
    <border>
      <left>
        <color indexed="63"/>
      </left>
      <right>
        <color indexed="63"/>
      </right>
      <top>
        <color indexed="63"/>
      </top>
      <bottom style="thin"/>
    </border>
    <border>
      <left style="medium"/>
      <right style="medium"/>
      <top style="medium"/>
      <bottom style="medium"/>
    </border>
    <border>
      <left style="thin"/>
      <right style="thin"/>
      <top style="double"/>
      <bottom>
        <color indexed="63"/>
      </bottom>
    </border>
    <border>
      <left style="thin"/>
      <right style="thin"/>
      <top>
        <color indexed="63"/>
      </top>
      <bottom style="thin"/>
    </border>
    <border>
      <left style="thin"/>
      <right style="thin"/>
      <top style="thin"/>
      <bottom>
        <color indexed="63"/>
      </bottom>
    </border>
    <border>
      <left style="thin"/>
      <right style="thin"/>
      <top style="thin"/>
      <bottom style="double"/>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0" fillId="0" borderId="0" xfId="0" applyAlignment="1">
      <alignment horizontal="center"/>
    </xf>
    <xf numFmtId="0" fontId="0" fillId="0" borderId="1" xfId="0" applyBorder="1" applyAlignment="1">
      <alignment horizontal="center"/>
    </xf>
    <xf numFmtId="0" fontId="0" fillId="0" borderId="0" xfId="0" applyAlignment="1">
      <alignment/>
    </xf>
    <xf numFmtId="0" fontId="4" fillId="0" borderId="0" xfId="0" applyFont="1" applyAlignment="1">
      <alignment horizontal="center"/>
    </xf>
    <xf numFmtId="0" fontId="0" fillId="0" borderId="0" xfId="0" applyAlignment="1">
      <alignment horizontal="left"/>
    </xf>
    <xf numFmtId="0" fontId="0" fillId="0" borderId="0" xfId="0" applyBorder="1" applyAlignment="1">
      <alignment horizontal="center"/>
    </xf>
    <xf numFmtId="0" fontId="5" fillId="0" borderId="0" xfId="0" applyFont="1" applyAlignment="1">
      <alignment horizontal="left"/>
    </xf>
    <xf numFmtId="0" fontId="0" fillId="0" borderId="1" xfId="0" applyBorder="1" applyAlignment="1">
      <alignment/>
    </xf>
    <xf numFmtId="2" fontId="0" fillId="0" borderId="0" xfId="0" applyNumberFormat="1" applyFill="1" applyBorder="1" applyAlignment="1">
      <alignment/>
    </xf>
    <xf numFmtId="0" fontId="1" fillId="0" borderId="0" xfId="0" applyFont="1" applyAlignment="1">
      <alignment/>
    </xf>
    <xf numFmtId="0" fontId="0" fillId="0" borderId="0" xfId="0" applyFill="1" applyAlignment="1">
      <alignment/>
    </xf>
    <xf numFmtId="3" fontId="0" fillId="0" borderId="0" xfId="0" applyNumberFormat="1" applyFill="1" applyBorder="1" applyAlignment="1">
      <alignment/>
    </xf>
    <xf numFmtId="165" fontId="0" fillId="0" borderId="0" xfId="0" applyNumberFormat="1" applyFill="1" applyBorder="1" applyAlignment="1">
      <alignment/>
    </xf>
    <xf numFmtId="0" fontId="0" fillId="2" borderId="0" xfId="0" applyFill="1"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1" fillId="0" borderId="0" xfId="0" applyFont="1" applyFill="1" applyAlignment="1">
      <alignment/>
    </xf>
    <xf numFmtId="0" fontId="11" fillId="0" borderId="0" xfId="0" applyFont="1" applyAlignment="1">
      <alignment/>
    </xf>
    <xf numFmtId="0" fontId="5" fillId="2" borderId="0" xfId="0" applyFont="1" applyFill="1" applyAlignment="1">
      <alignment/>
    </xf>
    <xf numFmtId="0" fontId="0" fillId="0" borderId="0" xfId="0" applyFill="1" applyAlignment="1">
      <alignment horizontal="center"/>
    </xf>
    <xf numFmtId="0" fontId="0" fillId="0" borderId="2" xfId="0" applyBorder="1" applyAlignment="1">
      <alignment/>
    </xf>
    <xf numFmtId="3" fontId="1" fillId="3" borderId="3" xfId="0" applyNumberFormat="1" applyFont="1" applyFill="1" applyBorder="1" applyAlignment="1">
      <alignment/>
    </xf>
    <xf numFmtId="0" fontId="0" fillId="0" borderId="0" xfId="0" applyBorder="1" applyAlignment="1">
      <alignment/>
    </xf>
    <xf numFmtId="0" fontId="7" fillId="0" borderId="0" xfId="0" applyFont="1" applyAlignment="1">
      <alignment horizontal="center"/>
    </xf>
    <xf numFmtId="0" fontId="11" fillId="0" borderId="0" xfId="0" applyFont="1" applyBorder="1" applyAlignment="1">
      <alignment horizontal="center"/>
    </xf>
    <xf numFmtId="0" fontId="0" fillId="0" borderId="0" xfId="0" applyAlignment="1">
      <alignment horizontal="left" indent="1"/>
    </xf>
    <xf numFmtId="0" fontId="0" fillId="0" borderId="2" xfId="0" applyFill="1" applyBorder="1" applyAlignment="1">
      <alignment/>
    </xf>
    <xf numFmtId="0" fontId="9" fillId="0" borderId="0" xfId="21" applyNumberFormat="1" applyFont="1" applyAlignment="1">
      <alignment horizontal="right"/>
    </xf>
    <xf numFmtId="170" fontId="0" fillId="0" borderId="0" xfId="0" applyNumberFormat="1" applyAlignment="1">
      <alignment horizontal="center"/>
    </xf>
    <xf numFmtId="0" fontId="9" fillId="0" borderId="0" xfId="0" applyFont="1" applyAlignment="1">
      <alignment horizontal="center" wrapText="1"/>
    </xf>
    <xf numFmtId="0" fontId="9" fillId="0" borderId="0" xfId="0" applyFont="1" applyAlignment="1">
      <alignment horizontal="left" indent="1"/>
    </xf>
    <xf numFmtId="0" fontId="1" fillId="0" borderId="2" xfId="0" applyFont="1" applyFill="1" applyBorder="1" applyAlignment="1">
      <alignment/>
    </xf>
    <xf numFmtId="17" fontId="10" fillId="0" borderId="0" xfId="0" applyNumberFormat="1" applyFont="1" applyAlignment="1">
      <alignment horizontal="right"/>
    </xf>
    <xf numFmtId="3" fontId="0" fillId="0" borderId="0" xfId="0" applyNumberFormat="1" applyAlignment="1">
      <alignment/>
    </xf>
    <xf numFmtId="0" fontId="15" fillId="0" borderId="0" xfId="0" applyFont="1" applyAlignment="1">
      <alignment horizontal="left"/>
    </xf>
    <xf numFmtId="0" fontId="16" fillId="0" borderId="0" xfId="0" applyFont="1" applyAlignment="1">
      <alignment/>
    </xf>
    <xf numFmtId="0" fontId="17" fillId="0" borderId="0" xfId="0" applyFont="1" applyAlignment="1">
      <alignment/>
    </xf>
    <xf numFmtId="17" fontId="16" fillId="0" borderId="0" xfId="0" applyNumberFormat="1" applyFont="1" applyAlignment="1">
      <alignment horizontal="right"/>
    </xf>
    <xf numFmtId="0" fontId="15" fillId="4" borderId="0" xfId="0" applyFont="1" applyFill="1" applyAlignment="1">
      <alignment/>
    </xf>
    <xf numFmtId="0" fontId="16" fillId="4" borderId="0" xfId="0" applyFont="1" applyFill="1" applyAlignment="1">
      <alignment/>
    </xf>
    <xf numFmtId="0" fontId="16" fillId="0" borderId="0" xfId="0" applyFont="1" applyAlignment="1">
      <alignment horizontal="center"/>
    </xf>
    <xf numFmtId="0" fontId="15" fillId="3" borderId="0" xfId="0" applyFont="1" applyFill="1" applyAlignment="1">
      <alignment/>
    </xf>
    <xf numFmtId="3" fontId="15" fillId="3" borderId="3" xfId="0" applyNumberFormat="1" applyFont="1" applyFill="1" applyBorder="1" applyAlignment="1" applyProtection="1">
      <alignment horizontal="right"/>
      <protection locked="0"/>
    </xf>
    <xf numFmtId="0" fontId="16" fillId="0" borderId="0" xfId="0" applyFont="1" applyAlignment="1">
      <alignment/>
    </xf>
    <xf numFmtId="2" fontId="16" fillId="0" borderId="0" xfId="0" applyNumberFormat="1" applyFont="1" applyFill="1" applyAlignment="1">
      <alignment/>
    </xf>
    <xf numFmtId="0" fontId="15" fillId="3" borderId="3" xfId="0" applyFont="1" applyFill="1" applyBorder="1" applyAlignment="1">
      <alignment/>
    </xf>
    <xf numFmtId="0" fontId="16" fillId="0" borderId="0" xfId="0" applyFont="1" applyFill="1" applyAlignment="1">
      <alignment/>
    </xf>
    <xf numFmtId="0" fontId="16" fillId="0" borderId="0" xfId="0" applyFont="1" applyFill="1" applyBorder="1" applyAlignment="1">
      <alignment/>
    </xf>
    <xf numFmtId="0" fontId="15" fillId="2" borderId="0" xfId="0" applyFont="1" applyFill="1" applyAlignment="1">
      <alignment/>
    </xf>
    <xf numFmtId="0" fontId="16" fillId="2" borderId="0" xfId="0" applyFont="1" applyFill="1" applyAlignment="1">
      <alignment/>
    </xf>
    <xf numFmtId="0" fontId="18" fillId="0" borderId="0" xfId="0" applyFont="1" applyAlignment="1">
      <alignment horizontal="center"/>
    </xf>
    <xf numFmtId="0" fontId="19" fillId="0" borderId="0" xfId="0" applyFont="1" applyAlignment="1">
      <alignment horizontal="center"/>
    </xf>
    <xf numFmtId="0" fontId="16" fillId="0" borderId="0" xfId="0" applyFont="1" applyBorder="1" applyAlignment="1">
      <alignment horizontal="center"/>
    </xf>
    <xf numFmtId="0" fontId="16" fillId="0" borderId="4" xfId="0" applyFont="1" applyBorder="1" applyAlignment="1">
      <alignment horizontal="center"/>
    </xf>
    <xf numFmtId="0" fontId="16" fillId="0" borderId="1" xfId="0" applyFont="1" applyBorder="1" applyAlignment="1">
      <alignment horizontal="center"/>
    </xf>
    <xf numFmtId="0" fontId="16" fillId="0" borderId="1" xfId="0" applyFont="1" applyBorder="1" applyAlignment="1">
      <alignment/>
    </xf>
    <xf numFmtId="0" fontId="18" fillId="0" borderId="0" xfId="0" applyFont="1" applyAlignment="1">
      <alignment/>
    </xf>
    <xf numFmtId="0" fontId="15" fillId="0" borderId="0" xfId="0" applyFont="1" applyFill="1" applyAlignment="1">
      <alignment/>
    </xf>
    <xf numFmtId="0" fontId="16" fillId="0" borderId="0" xfId="0" applyFont="1" applyAlignment="1">
      <alignment horizontal="left"/>
    </xf>
    <xf numFmtId="0" fontId="16" fillId="0" borderId="2" xfId="0" applyFont="1" applyBorder="1" applyAlignment="1">
      <alignment horizontal="center"/>
    </xf>
    <xf numFmtId="0" fontId="16" fillId="0" borderId="2" xfId="0" applyFont="1" applyBorder="1" applyAlignment="1">
      <alignment/>
    </xf>
    <xf numFmtId="0" fontId="16" fillId="0" borderId="0" xfId="0" applyFont="1" applyBorder="1" applyAlignment="1">
      <alignment horizontal="right"/>
    </xf>
    <xf numFmtId="3" fontId="16" fillId="0" borderId="0" xfId="0" applyNumberFormat="1" applyFont="1" applyAlignment="1">
      <alignment/>
    </xf>
    <xf numFmtId="0" fontId="20" fillId="0" borderId="0" xfId="0" applyFont="1" applyAlignment="1">
      <alignment/>
    </xf>
    <xf numFmtId="0" fontId="21" fillId="0" borderId="0" xfId="0" applyFont="1" applyAlignment="1">
      <alignment horizontal="center"/>
    </xf>
    <xf numFmtId="0" fontId="21" fillId="0" borderId="0" xfId="0" applyFont="1" applyAlignment="1">
      <alignment/>
    </xf>
    <xf numFmtId="0" fontId="22" fillId="0" borderId="0" xfId="0" applyFont="1" applyAlignment="1">
      <alignment horizontal="centerContinuous"/>
    </xf>
    <xf numFmtId="0" fontId="0" fillId="0" borderId="0" xfId="0" applyAlignment="1">
      <alignment horizontal="centerContinuous"/>
    </xf>
    <xf numFmtId="0" fontId="16" fillId="0" borderId="1" xfId="0" applyFont="1" applyBorder="1" applyAlignment="1">
      <alignment horizontal="center" wrapText="1"/>
    </xf>
    <xf numFmtId="2" fontId="15" fillId="0" borderId="1" xfId="0" applyNumberFormat="1" applyFont="1" applyFill="1" applyBorder="1" applyAlignment="1">
      <alignment horizontal="center"/>
    </xf>
    <xf numFmtId="3" fontId="16" fillId="0" borderId="0" xfId="0" applyNumberFormat="1" applyFont="1" applyFill="1" applyAlignment="1">
      <alignment/>
    </xf>
    <xf numFmtId="0" fontId="16" fillId="0" borderId="5" xfId="0" applyFont="1" applyBorder="1" applyAlignment="1">
      <alignment horizontal="center"/>
    </xf>
    <xf numFmtId="0" fontId="16" fillId="0" borderId="5" xfId="0" applyFont="1" applyBorder="1" applyAlignment="1">
      <alignment/>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7" xfId="0" applyFont="1" applyBorder="1" applyAlignment="1">
      <alignment horizontal="center" vertical="center" wrapText="1"/>
    </xf>
    <xf numFmtId="0" fontId="25" fillId="0" borderId="1" xfId="0" applyFont="1" applyBorder="1" applyAlignment="1">
      <alignment horizontal="center"/>
    </xf>
    <xf numFmtId="0" fontId="26" fillId="0" borderId="0" xfId="0" applyFont="1" applyAlignment="1">
      <alignment horizontal="left"/>
    </xf>
    <xf numFmtId="2" fontId="16" fillId="0" borderId="0" xfId="0" applyNumberFormat="1" applyFont="1" applyAlignment="1">
      <alignment/>
    </xf>
    <xf numFmtId="0" fontId="15" fillId="5" borderId="0" xfId="0" applyFont="1" applyFill="1" applyAlignment="1">
      <alignment horizontal="left"/>
    </xf>
    <xf numFmtId="0" fontId="15" fillId="2" borderId="0" xfId="0" applyFont="1" applyFill="1" applyAlignment="1">
      <alignment horizontal="left"/>
    </xf>
    <xf numFmtId="2" fontId="15" fillId="5" borderId="0" xfId="0" applyNumberFormat="1" applyFont="1" applyFill="1" applyBorder="1" applyAlignment="1">
      <alignment horizontal="center"/>
    </xf>
    <xf numFmtId="2" fontId="16" fillId="0" borderId="1" xfId="0" applyNumberFormat="1" applyFont="1" applyFill="1" applyBorder="1" applyAlignment="1">
      <alignment horizontal="center"/>
    </xf>
    <xf numFmtId="0" fontId="16" fillId="0" borderId="6" xfId="0" applyFont="1" applyBorder="1" applyAlignment="1">
      <alignment horizontal="center"/>
    </xf>
    <xf numFmtId="0" fontId="15" fillId="0" borderId="0" xfId="0" applyFont="1" applyFill="1" applyBorder="1" applyAlignment="1">
      <alignment/>
    </xf>
    <xf numFmtId="0" fontId="16" fillId="0" borderId="0" xfId="0" applyFont="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ill="1" applyAlignment="1">
      <alignment horizontal="left"/>
    </xf>
    <xf numFmtId="0" fontId="0" fillId="0" borderId="0" xfId="0" applyFont="1" applyFill="1" applyBorder="1" applyAlignment="1">
      <alignment horizontal="left"/>
    </xf>
    <xf numFmtId="0" fontId="28" fillId="0" borderId="0" xfId="0" applyFont="1" applyFill="1" applyBorder="1" applyAlignment="1">
      <alignment horizontal="left"/>
    </xf>
    <xf numFmtId="0" fontId="0" fillId="0" borderId="6" xfId="0" applyBorder="1" applyAlignment="1">
      <alignment horizontal="center"/>
    </xf>
    <xf numFmtId="0" fontId="0" fillId="0" borderId="5" xfId="0" applyBorder="1" applyAlignment="1">
      <alignment horizontal="center"/>
    </xf>
    <xf numFmtId="2" fontId="0" fillId="0" borderId="1" xfId="0" applyNumberFormat="1" applyBorder="1" applyAlignment="1">
      <alignment horizontal="center"/>
    </xf>
    <xf numFmtId="0" fontId="30" fillId="0" borderId="1" xfId="0" applyFont="1" applyBorder="1" applyAlignment="1">
      <alignment horizontal="center"/>
    </xf>
    <xf numFmtId="0" fontId="11" fillId="0" borderId="5" xfId="0" applyFont="1" applyBorder="1" applyAlignment="1">
      <alignment/>
    </xf>
    <xf numFmtId="0" fontId="0" fillId="0" borderId="4" xfId="0" applyBorder="1" applyAlignment="1">
      <alignment horizontal="center"/>
    </xf>
    <xf numFmtId="0" fontId="1" fillId="5" borderId="0" xfId="0" applyFont="1" applyFill="1" applyBorder="1" applyAlignment="1">
      <alignment horizontal="left"/>
    </xf>
    <xf numFmtId="2" fontId="1" fillId="5" borderId="0" xfId="0" applyNumberFormat="1" applyFont="1" applyFill="1" applyBorder="1" applyAlignment="1">
      <alignment horizontal="center"/>
    </xf>
    <xf numFmtId="0" fontId="0" fillId="0" borderId="6" xfId="0" applyBorder="1" applyAlignment="1">
      <alignment horizontal="center" vertical="center"/>
    </xf>
    <xf numFmtId="0" fontId="31" fillId="0" borderId="0" xfId="0" applyFont="1" applyAlignment="1">
      <alignment horizontal="left"/>
    </xf>
    <xf numFmtId="0" fontId="6" fillId="0" borderId="6" xfId="0" applyFont="1" applyBorder="1" applyAlignment="1">
      <alignment horizontal="center"/>
    </xf>
    <xf numFmtId="0" fontId="0" fillId="0" borderId="5" xfId="0" applyBorder="1" applyAlignment="1">
      <alignment/>
    </xf>
    <xf numFmtId="0" fontId="28" fillId="0" borderId="1" xfId="0" applyFont="1" applyBorder="1" applyAlignment="1">
      <alignment horizontal="center"/>
    </xf>
    <xf numFmtId="165" fontId="1" fillId="0" borderId="0" xfId="0" applyNumberFormat="1" applyFont="1" applyFill="1" applyBorder="1" applyAlignment="1">
      <alignment/>
    </xf>
    <xf numFmtId="2" fontId="1" fillId="0" borderId="0" xfId="0" applyNumberFormat="1" applyFont="1" applyFill="1" applyBorder="1" applyAlignment="1">
      <alignment horizontal="center"/>
    </xf>
    <xf numFmtId="0" fontId="1" fillId="2" borderId="0" xfId="0" applyFont="1" applyFill="1" applyAlignment="1">
      <alignment/>
    </xf>
    <xf numFmtId="0" fontId="1" fillId="2" borderId="0" xfId="0" applyFont="1" applyFill="1" applyAlignment="1">
      <alignment horizontal="center"/>
    </xf>
    <xf numFmtId="0" fontId="1" fillId="2" borderId="0" xfId="0" applyFont="1" applyFill="1" applyBorder="1" applyAlignment="1">
      <alignment horizontal="left"/>
    </xf>
    <xf numFmtId="0" fontId="1" fillId="2" borderId="0" xfId="0" applyFont="1" applyFill="1" applyAlignment="1">
      <alignment horizontal="left"/>
    </xf>
    <xf numFmtId="165" fontId="28" fillId="0" borderId="1" xfId="0" applyNumberFormat="1" applyFont="1" applyBorder="1" applyAlignment="1">
      <alignment horizontal="center"/>
    </xf>
    <xf numFmtId="0" fontId="16" fillId="5" borderId="0" xfId="0" applyFont="1" applyFill="1" applyAlignment="1">
      <alignment/>
    </xf>
    <xf numFmtId="2" fontId="16" fillId="5" borderId="8" xfId="0" applyNumberFormat="1" applyFont="1" applyFill="1" applyBorder="1" applyAlignment="1">
      <alignment horizontal="center"/>
    </xf>
    <xf numFmtId="0" fontId="15" fillId="5" borderId="0" xfId="0" applyFont="1" applyFill="1" applyBorder="1" applyAlignment="1">
      <alignment horizontal="left"/>
    </xf>
    <xf numFmtId="0" fontId="15" fillId="5" borderId="0" xfId="0" applyFont="1" applyFill="1" applyBorder="1" applyAlignment="1">
      <alignment/>
    </xf>
    <xf numFmtId="170" fontId="15" fillId="5" borderId="0" xfId="0" applyNumberFormat="1" applyFont="1" applyFill="1" applyBorder="1" applyAlignment="1">
      <alignment horizontal="center"/>
    </xf>
    <xf numFmtId="0" fontId="11" fillId="0" borderId="0" xfId="0" applyFont="1" applyBorder="1" applyAlignment="1">
      <alignment/>
    </xf>
    <xf numFmtId="0" fontId="1" fillId="5" borderId="0" xfId="0" applyFont="1" applyFill="1" applyBorder="1" applyAlignment="1">
      <alignment/>
    </xf>
    <xf numFmtId="170" fontId="1" fillId="5" borderId="0" xfId="0" applyNumberFormat="1" applyFont="1" applyFill="1" applyBorder="1" applyAlignment="1">
      <alignment horizontal="center"/>
    </xf>
    <xf numFmtId="0" fontId="32" fillId="0" borderId="0" xfId="0" applyFont="1" applyAlignment="1">
      <alignment horizontal="left"/>
    </xf>
    <xf numFmtId="0" fontId="0" fillId="5" borderId="0" xfId="0" applyFont="1" applyFill="1" applyBorder="1" applyAlignment="1">
      <alignment/>
    </xf>
    <xf numFmtId="2" fontId="0" fillId="5" borderId="0" xfId="0" applyNumberFormat="1" applyFont="1" applyFill="1" applyBorder="1" applyAlignment="1">
      <alignment horizontal="center"/>
    </xf>
    <xf numFmtId="0" fontId="21" fillId="0" borderId="0" xfId="0" applyFont="1" applyAlignment="1">
      <alignment horizontal="left"/>
    </xf>
    <xf numFmtId="0" fontId="25" fillId="0" borderId="0" xfId="0" applyFont="1" applyAlignment="1">
      <alignment horizontal="left"/>
    </xf>
    <xf numFmtId="0" fontId="22" fillId="0" borderId="0" xfId="0" applyFont="1" applyAlignment="1">
      <alignment horizontal="left"/>
    </xf>
    <xf numFmtId="0" fontId="33" fillId="0" borderId="0" xfId="0" applyFont="1" applyAlignment="1">
      <alignment wrapText="1"/>
    </xf>
    <xf numFmtId="0" fontId="0" fillId="0" borderId="0" xfId="0" applyAlignment="1">
      <alignment wrapText="1"/>
    </xf>
    <xf numFmtId="0" fontId="20" fillId="0" borderId="0" xfId="0" applyFont="1" applyAlignment="1">
      <alignment wrapText="1"/>
    </xf>
    <xf numFmtId="0" fontId="15" fillId="4" borderId="0" xfId="0" applyFont="1" applyFill="1" applyAlignment="1">
      <alignment horizontal="left"/>
    </xf>
    <xf numFmtId="0" fontId="0" fillId="0" borderId="0" xfId="0" applyFont="1" applyAlignment="1">
      <alignment/>
    </xf>
    <xf numFmtId="0" fontId="16" fillId="5" borderId="0" xfId="0" applyFont="1" applyFill="1" applyAlignment="1">
      <alignment horizontal="left"/>
    </xf>
    <xf numFmtId="0" fontId="27" fillId="5" borderId="0" xfId="0" applyFont="1" applyFill="1" applyAlignment="1">
      <alignment horizontal="left"/>
    </xf>
    <xf numFmtId="0" fontId="0" fillId="0" borderId="0" xfId="0" applyAlignment="1">
      <alignment/>
    </xf>
    <xf numFmtId="0" fontId="1" fillId="3" borderId="0" xfId="0" applyFont="1" applyFill="1" applyBorder="1" applyAlignment="1">
      <alignment horizontal="left"/>
    </xf>
    <xf numFmtId="0" fontId="23" fillId="4" borderId="0" xfId="0" applyFont="1" applyFill="1" applyAlignment="1">
      <alignment horizontal="left"/>
    </xf>
    <xf numFmtId="0" fontId="1" fillId="3" borderId="0" xfId="0"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K26"/>
  <sheetViews>
    <sheetView workbookViewId="0" topLeftCell="A16">
      <selection activeCell="L23" sqref="L23"/>
    </sheetView>
  </sheetViews>
  <sheetFormatPr defaultColWidth="9.140625" defaultRowHeight="12.75"/>
  <sheetData>
    <row r="1" spans="1:7" ht="15.75">
      <c r="A1" s="125" t="s">
        <v>122</v>
      </c>
      <c r="B1" s="68"/>
      <c r="C1" s="68"/>
      <c r="D1" s="68"/>
      <c r="E1" s="68"/>
      <c r="F1" s="68"/>
      <c r="G1" s="68"/>
    </row>
    <row r="2" spans="1:7" ht="15.75">
      <c r="A2" s="67" t="s">
        <v>76</v>
      </c>
      <c r="B2" s="68"/>
      <c r="C2" s="68"/>
      <c r="D2" s="68"/>
      <c r="E2" s="68"/>
      <c r="F2" s="68"/>
      <c r="G2" s="68"/>
    </row>
    <row r="3" ht="15.75">
      <c r="A3" s="65"/>
    </row>
    <row r="4" spans="1:11" ht="50.25" customHeight="1">
      <c r="A4" s="128" t="s">
        <v>125</v>
      </c>
      <c r="B4" s="127"/>
      <c r="C4" s="127"/>
      <c r="D4" s="127"/>
      <c r="E4" s="127"/>
      <c r="F4" s="127"/>
      <c r="G4" s="127"/>
      <c r="H4" s="127"/>
      <c r="I4" s="127"/>
      <c r="J4" s="127"/>
      <c r="K4" s="127"/>
    </row>
    <row r="5" ht="15.75">
      <c r="A5" s="64"/>
    </row>
    <row r="6" ht="15.75">
      <c r="A6" s="66" t="s">
        <v>77</v>
      </c>
    </row>
    <row r="7" spans="1:11" ht="42" customHeight="1">
      <c r="A7" s="128" t="s">
        <v>78</v>
      </c>
      <c r="B7" s="127"/>
      <c r="C7" s="127"/>
      <c r="D7" s="127"/>
      <c r="E7" s="127"/>
      <c r="F7" s="127"/>
      <c r="G7" s="127"/>
      <c r="H7" s="127"/>
      <c r="I7" s="127"/>
      <c r="J7" s="127"/>
      <c r="K7" s="127"/>
    </row>
    <row r="8" ht="15.75">
      <c r="A8" s="64"/>
    </row>
    <row r="9" ht="15.75">
      <c r="A9" s="66" t="s">
        <v>79</v>
      </c>
    </row>
    <row r="10" ht="22.5" customHeight="1">
      <c r="A10" s="64" t="s">
        <v>80</v>
      </c>
    </row>
    <row r="11" ht="15.75">
      <c r="A11" s="64"/>
    </row>
    <row r="12" ht="15.75">
      <c r="A12" s="66" t="s">
        <v>81</v>
      </c>
    </row>
    <row r="13" spans="1:11" ht="44.25" customHeight="1">
      <c r="A13" s="128" t="s">
        <v>82</v>
      </c>
      <c r="B13" s="127"/>
      <c r="C13" s="127"/>
      <c r="D13" s="127"/>
      <c r="E13" s="127"/>
      <c r="F13" s="127"/>
      <c r="G13" s="127"/>
      <c r="H13" s="127"/>
      <c r="I13" s="127"/>
      <c r="J13" s="127"/>
      <c r="K13" s="127"/>
    </row>
    <row r="14" ht="15.75">
      <c r="A14" s="64"/>
    </row>
    <row r="15" ht="15.75">
      <c r="A15" s="66" t="s">
        <v>83</v>
      </c>
    </row>
    <row r="16" spans="1:11" ht="67.5" customHeight="1">
      <c r="A16" s="128" t="s">
        <v>126</v>
      </c>
      <c r="B16" s="127"/>
      <c r="C16" s="127"/>
      <c r="D16" s="127"/>
      <c r="E16" s="127"/>
      <c r="F16" s="127"/>
      <c r="G16" s="127"/>
      <c r="H16" s="127"/>
      <c r="I16" s="127"/>
      <c r="J16" s="127"/>
      <c r="K16" s="127"/>
    </row>
    <row r="17" ht="15.75">
      <c r="A17" s="64"/>
    </row>
    <row r="18" spans="1:11" ht="69.75" customHeight="1">
      <c r="A18" s="128" t="s">
        <v>84</v>
      </c>
      <c r="B18" s="127"/>
      <c r="C18" s="127"/>
      <c r="D18" s="127"/>
      <c r="E18" s="127"/>
      <c r="F18" s="127"/>
      <c r="G18" s="127"/>
      <c r="H18" s="127"/>
      <c r="I18" s="127"/>
      <c r="J18" s="127"/>
      <c r="K18" s="127"/>
    </row>
    <row r="19" ht="15.75">
      <c r="A19" s="64"/>
    </row>
    <row r="20" ht="15.75">
      <c r="A20" s="66" t="s">
        <v>85</v>
      </c>
    </row>
    <row r="21" spans="1:11" ht="36" customHeight="1">
      <c r="A21" s="128" t="s">
        <v>86</v>
      </c>
      <c r="B21" s="127"/>
      <c r="C21" s="127"/>
      <c r="D21" s="127"/>
      <c r="E21" s="127"/>
      <c r="F21" s="127"/>
      <c r="G21" s="127"/>
      <c r="H21" s="127"/>
      <c r="I21" s="127"/>
      <c r="J21" s="127"/>
      <c r="K21" s="127"/>
    </row>
    <row r="22" ht="15.75">
      <c r="A22" s="64"/>
    </row>
    <row r="23" ht="15.75">
      <c r="A23" s="66" t="s">
        <v>87</v>
      </c>
    </row>
    <row r="24" spans="1:11" ht="75" customHeight="1">
      <c r="A24" s="128" t="s">
        <v>130</v>
      </c>
      <c r="B24" s="127"/>
      <c r="C24" s="127"/>
      <c r="D24" s="127"/>
      <c r="E24" s="127"/>
      <c r="F24" s="127"/>
      <c r="G24" s="127"/>
      <c r="H24" s="127"/>
      <c r="I24" s="127"/>
      <c r="J24" s="127"/>
      <c r="K24" s="127"/>
    </row>
    <row r="25" ht="15.75">
      <c r="A25" s="64"/>
    </row>
    <row r="26" spans="1:11" ht="75.75" customHeight="1">
      <c r="A26" s="126" t="s">
        <v>129</v>
      </c>
      <c r="B26" s="127"/>
      <c r="C26" s="127"/>
      <c r="D26" s="127"/>
      <c r="E26" s="127"/>
      <c r="F26" s="127"/>
      <c r="G26" s="127"/>
      <c r="H26" s="127"/>
      <c r="I26" s="127"/>
      <c r="J26" s="127"/>
      <c r="K26" s="127"/>
    </row>
  </sheetData>
  <mergeCells count="8">
    <mergeCell ref="A4:K4"/>
    <mergeCell ref="A7:K7"/>
    <mergeCell ref="A13:K13"/>
    <mergeCell ref="A16:K16"/>
    <mergeCell ref="A26:K26"/>
    <mergeCell ref="A18:K18"/>
    <mergeCell ref="A21:K21"/>
    <mergeCell ref="A24:K24"/>
  </mergeCells>
  <printOptions/>
  <pageMargins left="0.75" right="0.75" top="1" bottom="1" header="0.5" footer="0.5"/>
  <pageSetup horizontalDpi="600" verticalDpi="600" orientation="landscape" r:id="rId1"/>
  <headerFooter alignWithMargins="0">
    <oddHeader>&amp;CInstructions for Boiler Emission Calculations</oddHeader>
    <oddFooter>&amp;LDISCLAIMER:  NDEQ does not guarantee the accuracy and is not responsible for errors/omissions in the information contained herin.  All calculations are subject to review by NDEQ.</oddFooter>
  </headerFooter>
</worksheet>
</file>

<file path=xl/worksheets/sheet2.xml><?xml version="1.0" encoding="utf-8"?>
<worksheet xmlns="http://schemas.openxmlformats.org/spreadsheetml/2006/main" xmlns:r="http://schemas.openxmlformats.org/officeDocument/2006/relationships">
  <sheetPr codeName="Sheet11">
    <pageSetUpPr fitToPage="1"/>
  </sheetPr>
  <dimension ref="A1:J33"/>
  <sheetViews>
    <sheetView showGridLines="0" workbookViewId="0" topLeftCell="A10">
      <selection activeCell="B2" sqref="B2"/>
    </sheetView>
  </sheetViews>
  <sheetFormatPr defaultColWidth="9.140625" defaultRowHeight="12.75"/>
  <cols>
    <col min="1" max="1" width="23.421875" style="41" customWidth="1"/>
    <col min="2" max="9" width="23.421875" style="36" customWidth="1"/>
    <col min="10" max="16384" width="9.140625" style="36" customWidth="1"/>
  </cols>
  <sheetData>
    <row r="1" ht="12.75">
      <c r="A1" s="35" t="s">
        <v>106</v>
      </c>
    </row>
    <row r="3" spans="1:2" ht="12.75">
      <c r="A3" s="129" t="s">
        <v>116</v>
      </c>
      <c r="B3" s="130"/>
    </row>
    <row r="4" ht="12.75">
      <c r="A4" s="124" t="s">
        <v>123</v>
      </c>
    </row>
    <row r="5" spans="1:4" ht="12.75">
      <c r="A5" s="131" t="s">
        <v>102</v>
      </c>
      <c r="B5" s="130"/>
      <c r="C5" s="130"/>
      <c r="D5" s="130"/>
    </row>
    <row r="7" spans="1:8" ht="13.5" thickBot="1">
      <c r="A7" s="35"/>
      <c r="C7" s="39" t="s">
        <v>63</v>
      </c>
      <c r="D7" s="40"/>
      <c r="E7" s="40">
        <v>1</v>
      </c>
      <c r="F7" s="37"/>
      <c r="H7" s="38"/>
    </row>
    <row r="8" spans="3:8" ht="18" customHeight="1" thickBot="1">
      <c r="C8" s="42" t="s">
        <v>25</v>
      </c>
      <c r="D8" s="42"/>
      <c r="E8" s="43">
        <v>9800000</v>
      </c>
      <c r="F8" s="36" t="s">
        <v>90</v>
      </c>
      <c r="H8" s="36" t="s">
        <v>75</v>
      </c>
    </row>
    <row r="9" spans="3:8" ht="12.75">
      <c r="C9" s="36" t="s">
        <v>68</v>
      </c>
      <c r="E9" s="36">
        <f>IF(OR(E7=1,E7=2),B27,IF(OR(E7=3,E7=4),B29,0))</f>
        <v>140000</v>
      </c>
      <c r="F9" s="36" t="s">
        <v>69</v>
      </c>
      <c r="H9" s="36" t="s">
        <v>72</v>
      </c>
    </row>
    <row r="10" spans="1:6" ht="12.75">
      <c r="A10" s="41" t="s">
        <v>2</v>
      </c>
      <c r="B10" s="44"/>
      <c r="C10" s="47" t="s">
        <v>100</v>
      </c>
      <c r="D10" s="47"/>
      <c r="E10" s="45">
        <f>E8/E9</f>
        <v>70</v>
      </c>
      <c r="F10" s="36" t="s">
        <v>33</v>
      </c>
    </row>
    <row r="11" spans="1:6" ht="13.5" thickBot="1">
      <c r="A11" s="36"/>
      <c r="C11" s="47" t="s">
        <v>101</v>
      </c>
      <c r="D11" s="71"/>
      <c r="E11" s="45">
        <f>E10*8760</f>
        <v>613200</v>
      </c>
      <c r="F11" s="36" t="s">
        <v>91</v>
      </c>
    </row>
    <row r="12" spans="1:6" ht="13.5" thickBot="1">
      <c r="A12" s="36"/>
      <c r="C12" s="42" t="s">
        <v>37</v>
      </c>
      <c r="D12" s="42"/>
      <c r="E12" s="46">
        <v>0.05</v>
      </c>
      <c r="F12" s="36" t="s">
        <v>92</v>
      </c>
    </row>
    <row r="13" spans="1:3" ht="12.75">
      <c r="A13" s="36"/>
      <c r="C13" s="36" t="s">
        <v>1</v>
      </c>
    </row>
    <row r="14" s="47" customFormat="1" ht="12.75">
      <c r="E14" s="48"/>
    </row>
    <row r="15" spans="1:9" s="47" customFormat="1" ht="12.75">
      <c r="A15" s="49" t="s">
        <v>0</v>
      </c>
      <c r="B15" s="50"/>
      <c r="C15" s="50"/>
      <c r="D15" s="50"/>
      <c r="E15" s="50"/>
      <c r="F15" s="50"/>
      <c r="G15" s="50"/>
      <c r="H15" s="50"/>
      <c r="I15" s="50"/>
    </row>
    <row r="16" spans="1:9" ht="12.75">
      <c r="A16" s="44"/>
      <c r="B16" s="51" t="s">
        <v>3</v>
      </c>
      <c r="C16" s="51" t="s">
        <v>4</v>
      </c>
      <c r="D16" s="51" t="s">
        <v>5</v>
      </c>
      <c r="E16" s="51" t="s">
        <v>6</v>
      </c>
      <c r="F16" s="51" t="s">
        <v>7</v>
      </c>
      <c r="G16" s="51" t="s">
        <v>8</v>
      </c>
      <c r="H16" s="52" t="s">
        <v>26</v>
      </c>
      <c r="I16" s="52" t="s">
        <v>27</v>
      </c>
    </row>
    <row r="17" spans="1:9" ht="26.25" thickBot="1">
      <c r="A17" s="53"/>
      <c r="B17" s="74" t="s">
        <v>88</v>
      </c>
      <c r="C17" s="75" t="s">
        <v>89</v>
      </c>
      <c r="D17" s="75" t="s">
        <v>93</v>
      </c>
      <c r="E17" s="76" t="s">
        <v>94</v>
      </c>
      <c r="F17" s="76" t="s">
        <v>95</v>
      </c>
      <c r="G17" s="75" t="s">
        <v>96</v>
      </c>
      <c r="H17" s="76" t="s">
        <v>97</v>
      </c>
      <c r="I17" s="75" t="s">
        <v>98</v>
      </c>
    </row>
    <row r="18" spans="1:9" ht="13.5" thickTop="1">
      <c r="A18" s="53"/>
      <c r="B18" s="72" t="str">
        <f>IF(E7=1,A27,IF(E7=2,A28,IF(E7=3,A29,IF(E7=4,A30,"Enter fuel type above"))))</f>
        <v>No. 1 Fuel Oil</v>
      </c>
      <c r="C18" s="54" t="s">
        <v>14</v>
      </c>
      <c r="D18" s="54" t="s">
        <v>14</v>
      </c>
      <c r="E18" s="54" t="s">
        <v>14</v>
      </c>
      <c r="F18" s="54" t="s">
        <v>14</v>
      </c>
      <c r="G18" s="54" t="s">
        <v>14</v>
      </c>
      <c r="H18" s="54" t="s">
        <v>14</v>
      </c>
      <c r="I18" s="54" t="s">
        <v>14</v>
      </c>
    </row>
    <row r="19" spans="1:9" ht="12.75">
      <c r="A19" s="53"/>
      <c r="B19" s="55"/>
      <c r="C19" s="56"/>
      <c r="D19" s="56"/>
      <c r="E19" s="69"/>
      <c r="F19" s="55"/>
      <c r="G19" s="55"/>
      <c r="H19" s="55"/>
      <c r="I19" s="55"/>
    </row>
    <row r="20" spans="1:9" ht="12.75">
      <c r="A20" s="53"/>
      <c r="B20" s="70">
        <f>E11</f>
        <v>613200</v>
      </c>
      <c r="C20" s="77" t="s">
        <v>61</v>
      </c>
      <c r="D20" s="77" t="s">
        <v>61</v>
      </c>
      <c r="E20" s="77" t="s">
        <v>61</v>
      </c>
      <c r="F20" s="77" t="s">
        <v>61</v>
      </c>
      <c r="G20" s="77" t="s">
        <v>61</v>
      </c>
      <c r="H20" s="77" t="s">
        <v>61</v>
      </c>
      <c r="I20" s="77" t="s">
        <v>61</v>
      </c>
    </row>
    <row r="21" spans="1:10" ht="12.75">
      <c r="A21" s="53"/>
      <c r="B21" s="73"/>
      <c r="C21" s="73"/>
      <c r="D21" s="73"/>
      <c r="E21" s="73"/>
      <c r="F21" s="73"/>
      <c r="G21" s="73"/>
      <c r="H21" s="73"/>
      <c r="I21" s="73"/>
      <c r="J21" s="57"/>
    </row>
    <row r="22" spans="1:9" ht="12.75">
      <c r="A22" s="80" t="s">
        <v>0</v>
      </c>
      <c r="B22" s="112"/>
      <c r="C22" s="113">
        <f>IF(OR($E$7=1,$E$7=2),$B20*$C$27/2000,IF(OR($E$7=3,$E$7=4),$B20*C29/2000,0))</f>
        <v>2.20752</v>
      </c>
      <c r="D22" s="113">
        <f>IF(OR($E$7=1,$E$7=2),$B$20*D27/2000,IF(OR($E$7=3,$E$7=4),$B$20*D29/2000,0))</f>
        <v>6.132</v>
      </c>
      <c r="E22" s="113">
        <f>IF(OR($E$7=1,$E$7=2),$B$20*E27/2000,IF(OR($E$7=3,$E$7=4),$B$20*E29/2000,0))</f>
        <v>0.10424400000000002</v>
      </c>
      <c r="F22" s="113">
        <f>IF(OR($E$7=1,$E$7=2),$B$20*F27/2000,IF(OR($E$7=3,$E$7=4),$B$20*F29/2000,0))</f>
        <v>1.533</v>
      </c>
      <c r="G22" s="113">
        <f>IF(OR($E$7=1,$E$7=2),$B$20*G$27/2000,IF($E$7=3,$B$20*G$29/2000,IF($E$7=4,$B$20*G$30/2000,0)))</f>
        <v>0.6132000000000001</v>
      </c>
      <c r="H22" s="113">
        <f>IF(OR($E$7=1,$E$7=2),$B20*H27/2000,IF($E$7=3,$B20*H$29/2000,IF($E$7=4,$B20*H$30/2000,0)))</f>
        <v>0.331128</v>
      </c>
      <c r="I22" s="113">
        <f>IF(OR($E$7=1,$E$7=2),$B$20*I27/2000,IF(OR($E$7=3,$E$7=4),"na",0))</f>
        <v>0.00012264</v>
      </c>
    </row>
    <row r="23" spans="1:6" ht="12.75">
      <c r="A23" s="59"/>
      <c r="C23" s="79"/>
      <c r="D23" s="79"/>
      <c r="E23" s="79"/>
      <c r="F23" s="79"/>
    </row>
    <row r="24" spans="1:9" ht="12.75">
      <c r="A24" s="60"/>
      <c r="B24" s="61"/>
      <c r="C24" s="61"/>
      <c r="D24" s="61"/>
      <c r="E24" s="61"/>
      <c r="F24" s="61"/>
      <c r="G24" s="61"/>
      <c r="H24" s="61"/>
      <c r="I24" s="61"/>
    </row>
    <row r="25" spans="1:9" ht="12.75">
      <c r="A25" s="81" t="s">
        <v>127</v>
      </c>
      <c r="B25" s="50"/>
      <c r="C25" s="50"/>
      <c r="D25" s="50"/>
      <c r="E25" s="50"/>
      <c r="F25" s="50"/>
      <c r="G25" s="50"/>
      <c r="H25" s="50"/>
      <c r="I25" s="50"/>
    </row>
    <row r="26" spans="2:9" ht="12.75">
      <c r="B26" s="62" t="s">
        <v>52</v>
      </c>
      <c r="C26" s="62" t="s">
        <v>62</v>
      </c>
      <c r="D26" s="62" t="s">
        <v>71</v>
      </c>
      <c r="E26" s="62" t="s">
        <v>9</v>
      </c>
      <c r="F26" s="62" t="s">
        <v>10</v>
      </c>
      <c r="G26" s="62" t="s">
        <v>11</v>
      </c>
      <c r="H26" s="62" t="s">
        <v>12</v>
      </c>
      <c r="I26" s="62" t="s">
        <v>13</v>
      </c>
    </row>
    <row r="27" spans="1:9" ht="12.75">
      <c r="A27" s="41" t="s">
        <v>64</v>
      </c>
      <c r="B27" s="63">
        <v>140000</v>
      </c>
      <c r="C27" s="36">
        <f>0.144*$E$12</f>
        <v>0.0072</v>
      </c>
      <c r="D27" s="36">
        <v>0.02</v>
      </c>
      <c r="E27" s="36">
        <v>0.00034</v>
      </c>
      <c r="F27" s="36">
        <v>0.005</v>
      </c>
      <c r="G27" s="36">
        <v>0.002</v>
      </c>
      <c r="H27" s="36">
        <v>0.00108</v>
      </c>
      <c r="I27" s="36">
        <v>4E-07</v>
      </c>
    </row>
    <row r="28" spans="1:9" ht="12.75">
      <c r="A28" s="41" t="s">
        <v>65</v>
      </c>
      <c r="B28" s="63">
        <v>140000</v>
      </c>
      <c r="C28" s="36">
        <f>0.144*$E$12</f>
        <v>0.0072</v>
      </c>
      <c r="D28" s="36">
        <v>0.02</v>
      </c>
      <c r="E28" s="36">
        <v>0.00034</v>
      </c>
      <c r="F28" s="36">
        <v>0.005</v>
      </c>
      <c r="G28" s="36">
        <v>0.002</v>
      </c>
      <c r="H28" s="36">
        <v>0.00108</v>
      </c>
      <c r="I28" s="36">
        <v>4E-07</v>
      </c>
    </row>
    <row r="29" spans="1:8" ht="12.75">
      <c r="A29" s="41" t="s">
        <v>66</v>
      </c>
      <c r="B29" s="63">
        <v>150000</v>
      </c>
      <c r="C29" s="36">
        <f>0.159*$E$12</f>
        <v>0.00795</v>
      </c>
      <c r="D29" s="36">
        <v>0.055</v>
      </c>
      <c r="E29" s="36">
        <v>0.001605</v>
      </c>
      <c r="F29" s="36">
        <v>0.005</v>
      </c>
      <c r="G29" s="36">
        <f>0.00834*1.2</f>
        <v>0.010008</v>
      </c>
      <c r="H29" s="36">
        <f>0.00717*1.2</f>
        <v>0.008604</v>
      </c>
    </row>
    <row r="30" spans="1:8" ht="12.75">
      <c r="A30" s="41" t="s">
        <v>67</v>
      </c>
      <c r="B30" s="63">
        <v>150000</v>
      </c>
      <c r="C30" s="36">
        <f>0.159*$E$12</f>
        <v>0.00795</v>
      </c>
      <c r="D30" s="36">
        <v>0.055</v>
      </c>
      <c r="E30" s="36">
        <v>0.001605</v>
      </c>
      <c r="F30" s="36">
        <v>0.005</v>
      </c>
      <c r="G30" s="36">
        <f>0.00834*(1.2*E12+0.37)</f>
        <v>0.0035862</v>
      </c>
      <c r="H30" s="36">
        <f>0.00717*(1.2*E12+0.37)</f>
        <v>0.0030831</v>
      </c>
    </row>
    <row r="32" s="47" customFormat="1" ht="12.75">
      <c r="A32" s="47" t="s">
        <v>54</v>
      </c>
    </row>
    <row r="33" ht="12.75">
      <c r="A33" s="59" t="s">
        <v>117</v>
      </c>
    </row>
  </sheetData>
  <mergeCells count="2">
    <mergeCell ref="A3:B3"/>
    <mergeCell ref="A5:D5"/>
  </mergeCells>
  <printOptions/>
  <pageMargins left="0.75" right="0.75" top="1" bottom="1" header="0.5" footer="0.5"/>
  <pageSetup fitToHeight="1" fitToWidth="1" horizontalDpi="600" verticalDpi="600" orientation="landscape" scale="58" r:id="rId2"/>
  <headerFooter alignWithMargins="0">
    <oddHeader>&amp;CFuel Oil Emission Calculations</oddHeader>
    <oddFooter>&amp;LDISCLAIMER:  NDEQ does not guarantee the accuracy and is not responsible for errors/omissions in the information contained herein.  All calculations are subject to review by NDEQ.</oddFooter>
  </headerFooter>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J25"/>
  <sheetViews>
    <sheetView showGridLines="0" tabSelected="1" workbookViewId="0" topLeftCell="A1">
      <selection activeCell="E7" sqref="E7"/>
    </sheetView>
  </sheetViews>
  <sheetFormatPr defaultColWidth="9.140625" defaultRowHeight="12.75"/>
  <cols>
    <col min="1" max="1" width="13.140625" style="41" customWidth="1"/>
    <col min="2" max="9" width="23.57421875" style="36" customWidth="1"/>
    <col min="10" max="16384" width="9.140625" style="36" customWidth="1"/>
  </cols>
  <sheetData>
    <row r="1" ht="15.75">
      <c r="A1" s="123" t="s">
        <v>105</v>
      </c>
    </row>
    <row r="2" ht="12.75" customHeight="1">
      <c r="A2" s="35"/>
    </row>
    <row r="3" spans="1:2" ht="12.75">
      <c r="A3" s="129" t="s">
        <v>99</v>
      </c>
      <c r="B3" s="130"/>
    </row>
    <row r="4" ht="12.75">
      <c r="A4" s="124" t="s">
        <v>123</v>
      </c>
    </row>
    <row r="5" spans="1:4" ht="12.75">
      <c r="A5" s="131" t="s">
        <v>102</v>
      </c>
      <c r="B5" s="130"/>
      <c r="C5" s="130"/>
      <c r="D5" s="130"/>
    </row>
    <row r="6" spans="1:8" ht="13.5" thickBot="1">
      <c r="A6" s="36"/>
      <c r="H6" s="38"/>
    </row>
    <row r="7" spans="1:5" ht="13.5" thickBot="1">
      <c r="A7" s="35"/>
      <c r="C7" s="42" t="s">
        <v>25</v>
      </c>
      <c r="D7" s="42"/>
      <c r="E7" s="43">
        <v>9650000</v>
      </c>
    </row>
    <row r="8" spans="1:8" ht="12.75">
      <c r="A8" s="35"/>
      <c r="C8" s="36" t="s">
        <v>44</v>
      </c>
      <c r="H8" s="36" t="s">
        <v>75</v>
      </c>
    </row>
    <row r="9" spans="1:8" ht="12.75">
      <c r="A9" s="41" t="s">
        <v>2</v>
      </c>
      <c r="B9" s="44"/>
      <c r="C9" s="58" t="s">
        <v>103</v>
      </c>
      <c r="D9" s="47"/>
      <c r="E9" s="47">
        <f>E7/137500</f>
        <v>70.18181818181819</v>
      </c>
      <c r="H9" t="s">
        <v>72</v>
      </c>
    </row>
    <row r="10" spans="1:5" ht="13.5" thickBot="1">
      <c r="A10" s="36"/>
      <c r="C10" s="58" t="s">
        <v>104</v>
      </c>
      <c r="D10" s="71"/>
      <c r="E10" s="47">
        <f>E9*8760</f>
        <v>614792.7272727273</v>
      </c>
    </row>
    <row r="11" spans="1:6" ht="13.5" thickBot="1">
      <c r="A11" s="36"/>
      <c r="C11" s="42" t="s">
        <v>128</v>
      </c>
      <c r="D11" s="42"/>
      <c r="E11" s="46">
        <v>1.15</v>
      </c>
      <c r="F11" s="36" t="s">
        <v>51</v>
      </c>
    </row>
    <row r="12" spans="1:6" ht="13.5" thickBot="1">
      <c r="A12" s="36"/>
      <c r="C12" s="42" t="s">
        <v>37</v>
      </c>
      <c r="D12" s="42"/>
      <c r="E12" s="46">
        <v>0.5</v>
      </c>
      <c r="F12" s="36" t="s">
        <v>51</v>
      </c>
    </row>
    <row r="13" spans="3:6" s="47" customFormat="1" ht="13.5" thickBot="1">
      <c r="C13" s="42" t="s">
        <v>50</v>
      </c>
      <c r="D13" s="42"/>
      <c r="E13" s="46">
        <v>0.11</v>
      </c>
      <c r="F13" s="36" t="s">
        <v>51</v>
      </c>
    </row>
    <row r="14" spans="3:6" s="47" customFormat="1" ht="12.75">
      <c r="C14" s="36" t="s">
        <v>1</v>
      </c>
      <c r="D14" s="58"/>
      <c r="E14" s="85"/>
      <c r="F14" s="36"/>
    </row>
    <row r="15" spans="4:6" s="47" customFormat="1" ht="12.75">
      <c r="D15" s="58"/>
      <c r="E15" s="85"/>
      <c r="F15" s="36"/>
    </row>
    <row r="16" spans="1:9" s="47" customFormat="1" ht="12.75">
      <c r="A16" s="49" t="s">
        <v>0</v>
      </c>
      <c r="B16" s="50"/>
      <c r="C16" s="50"/>
      <c r="D16" s="50"/>
      <c r="E16" s="50"/>
      <c r="F16" s="50"/>
      <c r="G16" s="50"/>
      <c r="H16" s="50"/>
      <c r="I16" s="50"/>
    </row>
    <row r="17" spans="1:9" ht="12.75">
      <c r="A17" s="44"/>
      <c r="B17" s="51" t="s">
        <v>3</v>
      </c>
      <c r="C17" s="51" t="s">
        <v>4</v>
      </c>
      <c r="D17" s="51" t="s">
        <v>5</v>
      </c>
      <c r="E17" s="51" t="s">
        <v>6</v>
      </c>
      <c r="F17" s="51" t="s">
        <v>7</v>
      </c>
      <c r="G17" s="51" t="s">
        <v>8</v>
      </c>
      <c r="H17" s="52" t="s">
        <v>26</v>
      </c>
      <c r="I17" s="52" t="s">
        <v>27</v>
      </c>
    </row>
    <row r="18" spans="1:9" ht="26.25" thickBot="1">
      <c r="A18" s="53"/>
      <c r="B18" s="74" t="s">
        <v>88</v>
      </c>
      <c r="C18" s="75" t="s">
        <v>89</v>
      </c>
      <c r="D18" s="75" t="s">
        <v>93</v>
      </c>
      <c r="E18" s="76" t="s">
        <v>94</v>
      </c>
      <c r="F18" s="76" t="s">
        <v>95</v>
      </c>
      <c r="G18" s="75" t="s">
        <v>96</v>
      </c>
      <c r="H18" s="76" t="s">
        <v>97</v>
      </c>
      <c r="I18" s="75" t="s">
        <v>98</v>
      </c>
    </row>
    <row r="19" spans="1:9" ht="13.5" thickTop="1">
      <c r="A19" s="53"/>
      <c r="B19" s="72" t="s">
        <v>45</v>
      </c>
      <c r="C19" s="54" t="s">
        <v>14</v>
      </c>
      <c r="D19" s="54" t="s">
        <v>14</v>
      </c>
      <c r="E19" s="54" t="s">
        <v>14</v>
      </c>
      <c r="F19" s="54" t="s">
        <v>14</v>
      </c>
      <c r="G19" s="54" t="s">
        <v>14</v>
      </c>
      <c r="H19" s="54" t="s">
        <v>14</v>
      </c>
      <c r="I19" s="54" t="s">
        <v>14</v>
      </c>
    </row>
    <row r="20" spans="1:9" ht="12.75">
      <c r="A20" s="53"/>
      <c r="B20" s="84"/>
      <c r="C20" s="55"/>
      <c r="D20" s="55"/>
      <c r="E20" s="55"/>
      <c r="F20" s="55"/>
      <c r="G20" s="55"/>
      <c r="H20" s="55"/>
      <c r="I20" s="55"/>
    </row>
    <row r="21" spans="1:9" ht="12.75">
      <c r="A21" s="53"/>
      <c r="B21" s="83">
        <f>E10</f>
        <v>614792.7272727273</v>
      </c>
      <c r="C21" s="77" t="s">
        <v>46</v>
      </c>
      <c r="D21" s="77" t="s">
        <v>47</v>
      </c>
      <c r="E21" s="77" t="s">
        <v>23</v>
      </c>
      <c r="F21" s="77" t="s">
        <v>15</v>
      </c>
      <c r="G21" s="77" t="s">
        <v>70</v>
      </c>
      <c r="H21" s="77" t="s">
        <v>48</v>
      </c>
      <c r="I21" s="77" t="s">
        <v>49</v>
      </c>
    </row>
    <row r="22" spans="1:10" ht="12.75">
      <c r="A22" s="53"/>
      <c r="B22" s="73"/>
      <c r="C22" s="73"/>
      <c r="D22" s="73"/>
      <c r="E22" s="73"/>
      <c r="F22" s="73"/>
      <c r="G22" s="73"/>
      <c r="H22" s="73"/>
      <c r="I22" s="73"/>
      <c r="J22" s="57"/>
    </row>
    <row r="23" spans="1:10" ht="12.75">
      <c r="A23" s="53"/>
      <c r="B23" s="86"/>
      <c r="C23" s="86"/>
      <c r="D23" s="86"/>
      <c r="E23" s="86"/>
      <c r="F23" s="86"/>
      <c r="G23" s="86"/>
      <c r="H23" s="86"/>
      <c r="I23" s="86"/>
      <c r="J23" s="57"/>
    </row>
    <row r="24" spans="1:9" ht="12.75">
      <c r="A24" s="114" t="s">
        <v>38</v>
      </c>
      <c r="B24" s="115"/>
      <c r="C24" s="82">
        <f>B21*0.147*E12/2000</f>
        <v>22.593632727272727</v>
      </c>
      <c r="D24" s="82">
        <f>B21*0.019/2000</f>
        <v>5.840530909090909</v>
      </c>
      <c r="E24" s="82">
        <f>B21*0.0001/2000</f>
        <v>0.030739636363636365</v>
      </c>
      <c r="F24" s="82">
        <f>B21*0.005/2000</f>
        <v>1.5369818181818182</v>
      </c>
      <c r="G24" s="82">
        <f>B21*0.064*E11/2000</f>
        <v>22.624372363636365</v>
      </c>
      <c r="H24" s="82">
        <f>B21*0.051*E11/2000</f>
        <v>18.028796727272727</v>
      </c>
      <c r="I24" s="116">
        <f>B21*0.055*E13/2000</f>
        <v>1.8597479999999997</v>
      </c>
    </row>
    <row r="25" ht="12.75">
      <c r="A25" s="36" t="s">
        <v>107</v>
      </c>
    </row>
  </sheetData>
  <mergeCells count="2">
    <mergeCell ref="A5:D5"/>
    <mergeCell ref="A3:B3"/>
  </mergeCells>
  <printOptions/>
  <pageMargins left="0.75" right="0.75" top="1" bottom="1" header="0.5" footer="0.5"/>
  <pageSetup fitToHeight="1" fitToWidth="1" horizontalDpi="600" verticalDpi="600" orientation="landscape" scale="61" r:id="rId1"/>
  <headerFooter alignWithMargins="0">
    <oddHeader>&amp;CWaste Oil Emission Calculations</oddHeader>
    <oddFooter>&amp;LDISCLAIMER:  NDEQ does not guarantee the accuracy and is not responsible for errors/omissions contained in the information herein.  All calculations are subject to review by NDEQ.</oddFoot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I48"/>
  <sheetViews>
    <sheetView showGridLines="0" zoomScale="70" zoomScaleNormal="70" workbookViewId="0" topLeftCell="A10">
      <selection activeCell="A22" sqref="A22"/>
    </sheetView>
  </sheetViews>
  <sheetFormatPr defaultColWidth="9.140625" defaultRowHeight="12.75"/>
  <cols>
    <col min="1" max="1" width="11.140625" style="0" customWidth="1"/>
    <col min="2" max="9" width="23.57421875" style="0" customWidth="1"/>
  </cols>
  <sheetData>
    <row r="1" ht="23.25">
      <c r="A1" s="120" t="s">
        <v>118</v>
      </c>
    </row>
    <row r="2" ht="12.75" customHeight="1">
      <c r="A2" s="120"/>
    </row>
    <row r="3" spans="1:4" ht="18.75">
      <c r="A3" s="135" t="s">
        <v>99</v>
      </c>
      <c r="B3" s="133"/>
      <c r="C3" s="36"/>
      <c r="D3" s="36"/>
    </row>
    <row r="4" spans="1:9" ht="18.75">
      <c r="A4" s="78" t="s">
        <v>123</v>
      </c>
      <c r="B4" s="36"/>
      <c r="C4" s="36"/>
      <c r="D4" s="36"/>
      <c r="I4" s="33" t="s">
        <v>73</v>
      </c>
    </row>
    <row r="5" spans="1:9" ht="18.75">
      <c r="A5" s="132" t="s">
        <v>102</v>
      </c>
      <c r="B5" s="133"/>
      <c r="C5" s="133"/>
      <c r="D5" s="133"/>
      <c r="E5" s="133"/>
      <c r="I5" s="34"/>
    </row>
    <row r="6" spans="1:8" ht="16.5" thickBot="1">
      <c r="A6" s="7"/>
      <c r="H6" t="s">
        <v>75</v>
      </c>
    </row>
    <row r="7" spans="1:8" s="11" customFormat="1" ht="13.5" thickBot="1">
      <c r="A7" s="20"/>
      <c r="B7" s="12"/>
      <c r="C7" s="134" t="s">
        <v>41</v>
      </c>
      <c r="D7" s="134"/>
      <c r="E7" s="22">
        <v>11000000</v>
      </c>
      <c r="H7" t="s">
        <v>72</v>
      </c>
    </row>
    <row r="8" spans="1:4" s="11" customFormat="1" ht="12.75">
      <c r="A8" s="20"/>
      <c r="B8" s="12"/>
      <c r="C8" s="5" t="s">
        <v>18</v>
      </c>
      <c r="D8" s="89"/>
    </row>
    <row r="9" spans="1:6" s="11" customFormat="1" ht="14.25">
      <c r="A9" s="20"/>
      <c r="B9" s="12"/>
      <c r="C9" s="90" t="s">
        <v>108</v>
      </c>
      <c r="D9" s="91"/>
      <c r="E9" s="13">
        <f>E7/1050</f>
        <v>10476.190476190477</v>
      </c>
      <c r="F9" s="11" t="s">
        <v>110</v>
      </c>
    </row>
    <row r="10" spans="1:6" s="11" customFormat="1" ht="14.25">
      <c r="A10" s="20"/>
      <c r="B10" s="12"/>
      <c r="C10" s="90" t="s">
        <v>109</v>
      </c>
      <c r="D10" s="91"/>
      <c r="E10" s="9">
        <f>E9*8760</f>
        <v>91771428.57142858</v>
      </c>
      <c r="F10" s="11" t="s">
        <v>111</v>
      </c>
    </row>
    <row r="11" spans="1:5" s="11" customFormat="1" ht="12.75">
      <c r="A11" s="20"/>
      <c r="B11" s="12"/>
      <c r="C11" s="5" t="s">
        <v>1</v>
      </c>
      <c r="D11" s="15"/>
      <c r="E11" s="16"/>
    </row>
    <row r="12" spans="1:5" s="11" customFormat="1" ht="14.25">
      <c r="A12" s="20"/>
      <c r="B12" s="12"/>
      <c r="C12" s="5" t="s">
        <v>17</v>
      </c>
      <c r="D12" s="15"/>
      <c r="E12" s="16"/>
    </row>
    <row r="13" spans="1:5" s="11" customFormat="1" ht="12.75">
      <c r="A13" s="20"/>
      <c r="B13" s="12"/>
      <c r="C13" s="15"/>
      <c r="D13" s="15"/>
      <c r="E13" s="16"/>
    </row>
    <row r="14" spans="1:9" s="11" customFormat="1" ht="15.75">
      <c r="A14" s="19" t="s">
        <v>40</v>
      </c>
      <c r="B14" s="14"/>
      <c r="C14" s="14"/>
      <c r="D14" s="14"/>
      <c r="E14" s="14"/>
      <c r="F14" s="14"/>
      <c r="G14" s="14"/>
      <c r="H14" s="14"/>
      <c r="I14" s="14"/>
    </row>
    <row r="15" spans="1:9" ht="12.75">
      <c r="A15" s="3"/>
      <c r="B15" s="4" t="s">
        <v>3</v>
      </c>
      <c r="C15" s="4" t="s">
        <v>4</v>
      </c>
      <c r="D15" s="4" t="s">
        <v>5</v>
      </c>
      <c r="E15" s="4" t="s">
        <v>6</v>
      </c>
      <c r="F15" s="4" t="s">
        <v>7</v>
      </c>
      <c r="G15" s="4" t="s">
        <v>8</v>
      </c>
      <c r="H15" s="4" t="s">
        <v>26</v>
      </c>
      <c r="I15" s="24" t="s">
        <v>27</v>
      </c>
    </row>
    <row r="16" spans="1:9" ht="26.25" thickBot="1">
      <c r="A16" s="6"/>
      <c r="B16" s="100" t="s">
        <v>19</v>
      </c>
      <c r="C16" s="75" t="s">
        <v>89</v>
      </c>
      <c r="D16" s="75" t="s">
        <v>93</v>
      </c>
      <c r="E16" s="76" t="s">
        <v>94</v>
      </c>
      <c r="F16" s="76" t="s">
        <v>95</v>
      </c>
      <c r="G16" s="75" t="s">
        <v>96</v>
      </c>
      <c r="H16" s="76" t="s">
        <v>97</v>
      </c>
      <c r="I16" s="75" t="s">
        <v>98</v>
      </c>
    </row>
    <row r="17" spans="1:9" ht="13.5" thickTop="1">
      <c r="A17" s="6"/>
      <c r="B17" s="93" t="s">
        <v>21</v>
      </c>
      <c r="C17" s="97" t="s">
        <v>14</v>
      </c>
      <c r="D17" s="97" t="s">
        <v>14</v>
      </c>
      <c r="E17" s="97" t="s">
        <v>14</v>
      </c>
      <c r="F17" s="97" t="s">
        <v>14</v>
      </c>
      <c r="G17" s="97" t="s">
        <v>14</v>
      </c>
      <c r="H17" s="97" t="s">
        <v>14</v>
      </c>
      <c r="I17" s="97" t="s">
        <v>16</v>
      </c>
    </row>
    <row r="18" spans="1:9" ht="12.75">
      <c r="A18" s="6"/>
      <c r="B18" s="92"/>
      <c r="C18" s="2"/>
      <c r="D18" s="2"/>
      <c r="E18" s="2"/>
      <c r="F18" s="2"/>
      <c r="G18" s="2"/>
      <c r="H18" s="2"/>
      <c r="I18" s="8"/>
    </row>
    <row r="19" spans="1:9" ht="12.75">
      <c r="A19" s="6"/>
      <c r="B19" s="94">
        <f>E10</f>
        <v>91771428.57142858</v>
      </c>
      <c r="C19" s="95" t="s">
        <v>22</v>
      </c>
      <c r="D19" s="95" t="s">
        <v>23</v>
      </c>
      <c r="E19" s="95" t="s">
        <v>24</v>
      </c>
      <c r="F19" s="95" t="s">
        <v>34</v>
      </c>
      <c r="G19" s="95" t="s">
        <v>35</v>
      </c>
      <c r="H19" s="95" t="s">
        <v>35</v>
      </c>
      <c r="I19" s="95" t="s">
        <v>36</v>
      </c>
    </row>
    <row r="20" spans="1:9" s="18" customFormat="1" ht="12">
      <c r="A20" s="25"/>
      <c r="B20" s="96"/>
      <c r="C20" s="96"/>
      <c r="D20" s="96"/>
      <c r="E20" s="96"/>
      <c r="F20" s="96"/>
      <c r="G20" s="96"/>
      <c r="H20" s="96"/>
      <c r="I20" s="96"/>
    </row>
    <row r="21" spans="1:9" s="18" customFormat="1" ht="12">
      <c r="A21" s="25"/>
      <c r="B21" s="117"/>
      <c r="C21" s="117"/>
      <c r="D21" s="117"/>
      <c r="E21" s="117"/>
      <c r="F21" s="117"/>
      <c r="G21" s="117"/>
      <c r="H21" s="117"/>
      <c r="I21" s="117"/>
    </row>
    <row r="22" spans="1:9" ht="12.75">
      <c r="A22" s="98" t="s">
        <v>38</v>
      </c>
      <c r="B22" s="118"/>
      <c r="C22" s="99">
        <f>B19*0.0000006/2000</f>
        <v>0.027531428571428575</v>
      </c>
      <c r="D22" s="99">
        <f>B19*0.0001/2000</f>
        <v>4.588571428571429</v>
      </c>
      <c r="E22" s="99">
        <f>B19*0.0000055/2000</f>
        <v>0.2523714285714286</v>
      </c>
      <c r="F22" s="99">
        <f>B19*0.000084/2000</f>
        <v>3.8544</v>
      </c>
      <c r="G22" s="99">
        <f>B19*0.0000076/2000</f>
        <v>0.34873142857142864</v>
      </c>
      <c r="H22" s="99">
        <f>B19*0.0000076/2000</f>
        <v>0.34873142857142864</v>
      </c>
      <c r="I22" s="119">
        <f>B19*0.0000000005/2000</f>
        <v>2.2942857142857147E-05</v>
      </c>
    </row>
    <row r="23" s="10" customFormat="1" ht="12.75">
      <c r="A23" s="36" t="s">
        <v>120</v>
      </c>
    </row>
    <row r="24" spans="1:5" ht="12.75">
      <c r="A24" s="1"/>
      <c r="E24" s="1"/>
    </row>
    <row r="26" ht="23.25">
      <c r="A26" s="120" t="s">
        <v>119</v>
      </c>
    </row>
    <row r="27" ht="12.75" customHeight="1">
      <c r="A27" s="120"/>
    </row>
    <row r="28" spans="1:4" ht="18.75">
      <c r="A28" s="135" t="s">
        <v>99</v>
      </c>
      <c r="B28" s="133"/>
      <c r="C28" s="36"/>
      <c r="D28" s="36"/>
    </row>
    <row r="29" spans="1:9" ht="18.75">
      <c r="A29" s="78" t="s">
        <v>123</v>
      </c>
      <c r="B29" s="36"/>
      <c r="C29" s="36"/>
      <c r="D29" s="36"/>
      <c r="I29" s="33" t="s">
        <v>73</v>
      </c>
    </row>
    <row r="30" spans="1:9" ht="18.75">
      <c r="A30" s="132" t="s">
        <v>102</v>
      </c>
      <c r="B30" s="133"/>
      <c r="C30" s="133"/>
      <c r="D30" s="133"/>
      <c r="E30" s="133"/>
      <c r="I30" s="34"/>
    </row>
    <row r="31" spans="1:8" ht="16.5" thickBot="1">
      <c r="A31" s="7"/>
      <c r="H31" t="s">
        <v>75</v>
      </c>
    </row>
    <row r="32" spans="1:8" s="11" customFormat="1" ht="13.5" thickBot="1">
      <c r="A32" s="20"/>
      <c r="B32" s="12"/>
      <c r="C32" s="134" t="s">
        <v>41</v>
      </c>
      <c r="D32" s="134"/>
      <c r="E32" s="22">
        <v>150000000</v>
      </c>
      <c r="H32" t="s">
        <v>72</v>
      </c>
    </row>
    <row r="33" spans="1:4" s="11" customFormat="1" ht="12.75">
      <c r="A33" s="20"/>
      <c r="B33" s="12"/>
      <c r="C33" s="5" t="s">
        <v>18</v>
      </c>
      <c r="D33" s="89"/>
    </row>
    <row r="34" spans="1:6" s="11" customFormat="1" ht="14.25">
      <c r="A34" s="20"/>
      <c r="B34" s="12"/>
      <c r="C34" s="90" t="s">
        <v>108</v>
      </c>
      <c r="D34" s="91"/>
      <c r="E34" s="13">
        <f>E32/1050</f>
        <v>142857.14285714287</v>
      </c>
      <c r="F34" s="11" t="s">
        <v>110</v>
      </c>
    </row>
    <row r="35" spans="1:6" s="11" customFormat="1" ht="14.25">
      <c r="A35" s="20"/>
      <c r="B35" s="12"/>
      <c r="C35" s="90" t="s">
        <v>109</v>
      </c>
      <c r="D35" s="91"/>
      <c r="E35" s="9">
        <f>E34*8760</f>
        <v>1251428571.4285715</v>
      </c>
      <c r="F35" s="11" t="s">
        <v>111</v>
      </c>
    </row>
    <row r="36" spans="1:5" s="11" customFormat="1" ht="12.75">
      <c r="A36" s="20"/>
      <c r="B36" s="12"/>
      <c r="C36" s="5" t="s">
        <v>1</v>
      </c>
      <c r="D36" s="15"/>
      <c r="E36" s="16"/>
    </row>
    <row r="37" spans="1:5" s="11" customFormat="1" ht="14.25">
      <c r="A37" s="20"/>
      <c r="B37" s="12"/>
      <c r="C37" s="5" t="s">
        <v>17</v>
      </c>
      <c r="D37" s="15"/>
      <c r="E37" s="16"/>
    </row>
    <row r="38" spans="1:5" s="11" customFormat="1" ht="12.75">
      <c r="A38" s="20"/>
      <c r="B38" s="12"/>
      <c r="C38" s="15"/>
      <c r="D38" s="15"/>
      <c r="E38" s="16"/>
    </row>
    <row r="39" spans="1:9" s="11" customFormat="1" ht="15.75">
      <c r="A39" s="19" t="s">
        <v>40</v>
      </c>
      <c r="B39" s="14"/>
      <c r="C39" s="14"/>
      <c r="D39" s="14"/>
      <c r="E39" s="14"/>
      <c r="F39" s="14"/>
      <c r="G39" s="14"/>
      <c r="H39" s="14"/>
      <c r="I39" s="14"/>
    </row>
    <row r="40" spans="1:9" ht="12.75">
      <c r="A40" s="3"/>
      <c r="B40" s="4" t="s">
        <v>3</v>
      </c>
      <c r="C40" s="4" t="s">
        <v>4</v>
      </c>
      <c r="D40" s="4" t="s">
        <v>5</v>
      </c>
      <c r="E40" s="4" t="s">
        <v>6</v>
      </c>
      <c r="F40" s="4" t="s">
        <v>7</v>
      </c>
      <c r="G40" s="4" t="s">
        <v>8</v>
      </c>
      <c r="H40" s="4" t="s">
        <v>26</v>
      </c>
      <c r="I40" s="24" t="s">
        <v>27</v>
      </c>
    </row>
    <row r="41" spans="1:9" ht="26.25" thickBot="1">
      <c r="A41" s="6"/>
      <c r="B41" s="100" t="s">
        <v>19</v>
      </c>
      <c r="C41" s="75" t="s">
        <v>89</v>
      </c>
      <c r="D41" s="75" t="s">
        <v>93</v>
      </c>
      <c r="E41" s="76" t="s">
        <v>94</v>
      </c>
      <c r="F41" s="76" t="s">
        <v>95</v>
      </c>
      <c r="G41" s="75" t="s">
        <v>96</v>
      </c>
      <c r="H41" s="76" t="s">
        <v>97</v>
      </c>
      <c r="I41" s="75" t="s">
        <v>98</v>
      </c>
    </row>
    <row r="42" spans="1:9" ht="13.5" thickTop="1">
      <c r="A42" s="6"/>
      <c r="B42" s="93" t="s">
        <v>21</v>
      </c>
      <c r="C42" s="97" t="s">
        <v>14</v>
      </c>
      <c r="D42" s="97" t="s">
        <v>14</v>
      </c>
      <c r="E42" s="97" t="s">
        <v>14</v>
      </c>
      <c r="F42" s="97" t="s">
        <v>14</v>
      </c>
      <c r="G42" s="97" t="s">
        <v>14</v>
      </c>
      <c r="H42" s="97" t="s">
        <v>14</v>
      </c>
      <c r="I42" s="97" t="s">
        <v>16</v>
      </c>
    </row>
    <row r="43" spans="1:9" ht="12.75">
      <c r="A43" s="6"/>
      <c r="B43" s="92"/>
      <c r="C43" s="2"/>
      <c r="D43" s="2"/>
      <c r="E43" s="2"/>
      <c r="F43" s="2"/>
      <c r="G43" s="2"/>
      <c r="H43" s="2"/>
      <c r="I43" s="8"/>
    </row>
    <row r="44" spans="1:9" ht="12.75">
      <c r="A44" s="6"/>
      <c r="B44" s="94">
        <f>E35</f>
        <v>1251428571.4285715</v>
      </c>
      <c r="C44" s="95" t="s">
        <v>22</v>
      </c>
      <c r="D44" s="95" t="s">
        <v>121</v>
      </c>
      <c r="E44" s="95" t="s">
        <v>24</v>
      </c>
      <c r="F44" s="95" t="s">
        <v>34</v>
      </c>
      <c r="G44" s="95" t="s">
        <v>35</v>
      </c>
      <c r="H44" s="95" t="s">
        <v>35</v>
      </c>
      <c r="I44" s="95" t="s">
        <v>36</v>
      </c>
    </row>
    <row r="45" spans="1:9" s="18" customFormat="1" ht="12">
      <c r="A45" s="25"/>
      <c r="B45" s="96"/>
      <c r="C45" s="96"/>
      <c r="D45" s="96"/>
      <c r="E45" s="96"/>
      <c r="F45" s="96"/>
      <c r="G45" s="96"/>
      <c r="H45" s="96"/>
      <c r="I45" s="96"/>
    </row>
    <row r="46" spans="1:9" s="18" customFormat="1" ht="12">
      <c r="A46" s="25"/>
      <c r="B46" s="117"/>
      <c r="C46" s="117"/>
      <c r="D46" s="117"/>
      <c r="E46" s="117"/>
      <c r="F46" s="117"/>
      <c r="G46" s="117"/>
      <c r="H46" s="117"/>
      <c r="I46" s="117"/>
    </row>
    <row r="47" spans="1:9" ht="12.75">
      <c r="A47" s="98" t="s">
        <v>38</v>
      </c>
      <c r="B47" s="118"/>
      <c r="C47" s="99">
        <f>B44*0.0000006/2000</f>
        <v>0.37542857142857144</v>
      </c>
      <c r="D47" s="99">
        <f>B44*0.0001/2000</f>
        <v>62.57142857142858</v>
      </c>
      <c r="E47" s="99">
        <f>B44*0.0000055/2000</f>
        <v>3.4414285714285717</v>
      </c>
      <c r="F47" s="99">
        <f>B44*0.000084/2000</f>
        <v>52.56</v>
      </c>
      <c r="G47" s="99">
        <f>B44*0.0000076/2000</f>
        <v>4.755428571428571</v>
      </c>
      <c r="H47" s="99">
        <f>B44*0.0000076/2000</f>
        <v>4.755428571428571</v>
      </c>
      <c r="I47" s="119">
        <f>B44*0.0000000005/2000</f>
        <v>0.0003128571428571429</v>
      </c>
    </row>
    <row r="48" s="10" customFormat="1" ht="12.75">
      <c r="A48" s="36" t="s">
        <v>112</v>
      </c>
    </row>
  </sheetData>
  <mergeCells count="6">
    <mergeCell ref="A30:E30"/>
    <mergeCell ref="C32:D32"/>
    <mergeCell ref="C7:D7"/>
    <mergeCell ref="A3:B3"/>
    <mergeCell ref="A5:E5"/>
    <mergeCell ref="A28:B28"/>
  </mergeCells>
  <printOptions/>
  <pageMargins left="0.75" right="0.75" top="1" bottom="1" header="0.5" footer="0.5"/>
  <pageSetup fitToHeight="1" fitToWidth="1" horizontalDpi="600" verticalDpi="600" orientation="landscape" scale="61" r:id="rId1"/>
  <headerFooter alignWithMargins="0">
    <oddHeader>&amp;CNatural Gas Emission Calculations</oddHeader>
    <oddFooter>&amp;LDISCLAIMER:  NDEQ does not guarantee the accuracy and is not responsible for errors/omissions in the information contained herein.  All calculations are subject to review by NDEQ.</oddFoot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I32"/>
  <sheetViews>
    <sheetView showGridLines="0" zoomScale="70" zoomScaleNormal="70" workbookViewId="0" topLeftCell="A1">
      <selection activeCell="D24" sqref="D24"/>
    </sheetView>
  </sheetViews>
  <sheetFormatPr defaultColWidth="9.140625" defaultRowHeight="12.75"/>
  <cols>
    <col min="1" max="1" width="12.7109375" style="0" customWidth="1"/>
    <col min="2" max="9" width="23.57421875" style="0" customWidth="1"/>
  </cols>
  <sheetData>
    <row r="1" spans="1:2" ht="23.25">
      <c r="A1" s="120" t="s">
        <v>113</v>
      </c>
      <c r="B1" s="10"/>
    </row>
    <row r="2" spans="1:2" ht="12.75" customHeight="1">
      <c r="A2" s="101"/>
      <c r="B2" s="10"/>
    </row>
    <row r="3" spans="1:4" ht="18.75">
      <c r="A3" s="135" t="s">
        <v>99</v>
      </c>
      <c r="B3" s="133"/>
      <c r="C3" s="36"/>
      <c r="D3" s="36"/>
    </row>
    <row r="4" spans="1:9" ht="18.75">
      <c r="A4" s="78" t="s">
        <v>123</v>
      </c>
      <c r="B4" s="36"/>
      <c r="C4" s="36"/>
      <c r="D4" s="36"/>
      <c r="I4" s="33" t="s">
        <v>73</v>
      </c>
    </row>
    <row r="5" spans="1:5" ht="18.75">
      <c r="A5" s="132" t="s">
        <v>102</v>
      </c>
      <c r="B5" s="133"/>
      <c r="C5" s="133"/>
      <c r="D5" s="133"/>
      <c r="E5" s="133"/>
    </row>
    <row r="6" ht="13.5" thickBot="1">
      <c r="H6" t="s">
        <v>75</v>
      </c>
    </row>
    <row r="7" spans="3:8" ht="13.5" thickBot="1">
      <c r="C7" s="136" t="s">
        <v>41</v>
      </c>
      <c r="D7" s="136"/>
      <c r="E7" s="22">
        <v>50000000</v>
      </c>
      <c r="H7" t="s">
        <v>74</v>
      </c>
    </row>
    <row r="8" spans="3:5" ht="12.75">
      <c r="C8" s="90" t="s">
        <v>114</v>
      </c>
      <c r="D8" s="87"/>
      <c r="E8" s="13">
        <f>E7/91500</f>
        <v>546.448087431694</v>
      </c>
    </row>
    <row r="9" spans="3:5" ht="12.75">
      <c r="C9" s="90" t="s">
        <v>115</v>
      </c>
      <c r="D9" s="88"/>
      <c r="E9" s="9">
        <f>E8*8760</f>
        <v>4786885.24590164</v>
      </c>
    </row>
    <row r="11" s="19" customFormat="1" ht="15.75">
      <c r="A11" s="19" t="s">
        <v>0</v>
      </c>
    </row>
    <row r="12" spans="1:9" ht="12.75">
      <c r="A12" s="3"/>
      <c r="B12" s="4" t="s">
        <v>3</v>
      </c>
      <c r="C12" s="4" t="s">
        <v>4</v>
      </c>
      <c r="D12" s="4" t="s">
        <v>5</v>
      </c>
      <c r="E12" s="4" t="s">
        <v>6</v>
      </c>
      <c r="F12" s="4" t="s">
        <v>7</v>
      </c>
      <c r="G12" s="4" t="s">
        <v>8</v>
      </c>
      <c r="H12" s="4" t="s">
        <v>26</v>
      </c>
      <c r="I12" s="24" t="s">
        <v>27</v>
      </c>
    </row>
    <row r="13" spans="1:9" ht="26.25" thickBot="1">
      <c r="A13" s="6"/>
      <c r="B13" s="102" t="s">
        <v>43</v>
      </c>
      <c r="C13" s="75" t="s">
        <v>89</v>
      </c>
      <c r="D13" s="75" t="s">
        <v>93</v>
      </c>
      <c r="E13" s="76" t="s">
        <v>94</v>
      </c>
      <c r="F13" s="76" t="s">
        <v>95</v>
      </c>
      <c r="G13" s="75" t="s">
        <v>96</v>
      </c>
      <c r="H13" s="76" t="s">
        <v>97</v>
      </c>
      <c r="I13" s="75" t="s">
        <v>98</v>
      </c>
    </row>
    <row r="14" spans="1:9" ht="13.5" thickTop="1">
      <c r="A14" s="6"/>
      <c r="B14" s="93" t="s">
        <v>42</v>
      </c>
      <c r="C14" s="97" t="s">
        <v>14</v>
      </c>
      <c r="D14" s="97" t="s">
        <v>14</v>
      </c>
      <c r="E14" s="97" t="s">
        <v>14</v>
      </c>
      <c r="F14" s="97" t="s">
        <v>14</v>
      </c>
      <c r="G14" s="97" t="s">
        <v>14</v>
      </c>
      <c r="H14" s="97" t="s">
        <v>14</v>
      </c>
      <c r="I14" s="97" t="s">
        <v>16</v>
      </c>
    </row>
    <row r="15" spans="1:9" ht="12.75">
      <c r="A15" s="6"/>
      <c r="B15" s="92"/>
      <c r="C15" s="2"/>
      <c r="D15" s="2"/>
      <c r="E15" s="2"/>
      <c r="F15" s="2"/>
      <c r="G15" s="2"/>
      <c r="H15" s="2"/>
      <c r="I15" s="8"/>
    </row>
    <row r="16" spans="1:9" ht="12.75">
      <c r="A16" s="6"/>
      <c r="B16" s="94">
        <f>E9</f>
        <v>4786885.24590164</v>
      </c>
      <c r="C16" s="104" t="s">
        <v>61</v>
      </c>
      <c r="D16" s="104" t="s">
        <v>61</v>
      </c>
      <c r="E16" s="104" t="s">
        <v>61</v>
      </c>
      <c r="F16" s="104" t="s">
        <v>61</v>
      </c>
      <c r="G16" s="104" t="s">
        <v>61</v>
      </c>
      <c r="H16" s="104" t="s">
        <v>61</v>
      </c>
      <c r="I16" s="111" t="s">
        <v>39</v>
      </c>
    </row>
    <row r="17" spans="1:9" ht="12.75">
      <c r="A17" s="6"/>
      <c r="B17" s="103"/>
      <c r="C17" s="103"/>
      <c r="D17" s="103"/>
      <c r="E17" s="103"/>
      <c r="F17" s="103"/>
      <c r="G17" s="103"/>
      <c r="H17" s="103"/>
      <c r="I17" s="103"/>
    </row>
    <row r="18" spans="1:9" ht="12.75">
      <c r="A18" s="6"/>
      <c r="B18" s="23"/>
      <c r="C18" s="23"/>
      <c r="D18" s="23"/>
      <c r="E18" s="23"/>
      <c r="F18" s="23"/>
      <c r="G18" s="23"/>
      <c r="H18" s="23"/>
      <c r="I18" s="23"/>
    </row>
    <row r="19" spans="1:9" ht="12.75">
      <c r="A19" s="98" t="s">
        <v>38</v>
      </c>
      <c r="B19" s="121"/>
      <c r="C19" s="122">
        <f aca="true" t="shared" si="0" ref="C19:H19">IF($E$7&lt;10000000,C$26*$B16/2000,C$27*$B16/2000)</f>
        <v>0.047868852459016405</v>
      </c>
      <c r="D19" s="122">
        <f t="shared" si="0"/>
        <v>45.47540983606558</v>
      </c>
      <c r="E19" s="122">
        <f t="shared" si="0"/>
        <v>1.19672131147541</v>
      </c>
      <c r="F19" s="122">
        <f t="shared" si="0"/>
        <v>7.659016393442624</v>
      </c>
      <c r="G19" s="122">
        <f t="shared" si="0"/>
        <v>1.4360655737704917</v>
      </c>
      <c r="H19" s="122">
        <f t="shared" si="0"/>
        <v>1.4360655737704917</v>
      </c>
      <c r="I19" s="121"/>
    </row>
    <row r="20" spans="1:9" s="17" customFormat="1" ht="12.75">
      <c r="A20" s="15"/>
      <c r="B20" s="105"/>
      <c r="C20" s="106"/>
      <c r="D20" s="106"/>
      <c r="E20" s="106"/>
      <c r="F20" s="106"/>
      <c r="G20" s="106"/>
      <c r="H20" s="106"/>
      <c r="I20" s="106"/>
    </row>
    <row r="21" ht="12.75">
      <c r="A21" s="1"/>
    </row>
    <row r="22" ht="12.75">
      <c r="A22" t="s">
        <v>31</v>
      </c>
    </row>
    <row r="23" spans="3:5" s="21" customFormat="1" ht="12.75">
      <c r="C23" s="32"/>
      <c r="D23" s="27"/>
      <c r="E23" s="27"/>
    </row>
    <row r="24" spans="1:9" s="11" customFormat="1" ht="14.25">
      <c r="A24" s="107" t="s">
        <v>53</v>
      </c>
      <c r="B24" s="14"/>
      <c r="C24" s="108" t="s">
        <v>30</v>
      </c>
      <c r="D24" s="108" t="s">
        <v>28</v>
      </c>
      <c r="E24" s="108" t="s">
        <v>9</v>
      </c>
      <c r="F24" s="108" t="s">
        <v>10</v>
      </c>
      <c r="G24" s="108" t="s">
        <v>11</v>
      </c>
      <c r="H24" s="108" t="s">
        <v>29</v>
      </c>
      <c r="I24" s="108" t="s">
        <v>20</v>
      </c>
    </row>
    <row r="25" spans="3:9" ht="12.75" customHeight="1">
      <c r="C25" s="30" t="s">
        <v>59</v>
      </c>
      <c r="D25" s="30" t="s">
        <v>59</v>
      </c>
      <c r="E25" s="30" t="s">
        <v>59</v>
      </c>
      <c r="F25" s="30" t="s">
        <v>59</v>
      </c>
      <c r="G25" s="30" t="s">
        <v>59</v>
      </c>
      <c r="H25" s="30" t="s">
        <v>59</v>
      </c>
      <c r="I25" s="30" t="s">
        <v>59</v>
      </c>
    </row>
    <row r="26" spans="1:9" ht="12.75">
      <c r="A26" t="s">
        <v>55</v>
      </c>
      <c r="C26" s="1">
        <f>0.0001*A30</f>
        <v>2E-05</v>
      </c>
      <c r="D26" s="1">
        <v>0.014</v>
      </c>
      <c r="E26" s="1">
        <v>0.0005</v>
      </c>
      <c r="F26" s="29">
        <v>0.0019</v>
      </c>
      <c r="G26" s="1">
        <v>0.0004</v>
      </c>
      <c r="H26" s="1">
        <v>0.0004</v>
      </c>
      <c r="I26" s="1" t="s">
        <v>39</v>
      </c>
    </row>
    <row r="27" spans="1:9" ht="12.75">
      <c r="A27" t="s">
        <v>56</v>
      </c>
      <c r="C27" s="1">
        <f>0.0001*A30</f>
        <v>2E-05</v>
      </c>
      <c r="D27" s="1">
        <v>0.019</v>
      </c>
      <c r="E27" s="1">
        <v>0.0005</v>
      </c>
      <c r="F27" s="29">
        <v>0.0032</v>
      </c>
      <c r="G27" s="1">
        <v>0.0006</v>
      </c>
      <c r="H27" s="1">
        <v>0.0006</v>
      </c>
      <c r="I27" s="1" t="s">
        <v>39</v>
      </c>
    </row>
    <row r="28" s="21" customFormat="1" ht="12.75"/>
    <row r="29" spans="1:9" s="11" customFormat="1" ht="12.75">
      <c r="A29" s="107" t="s">
        <v>124</v>
      </c>
      <c r="B29" s="14"/>
      <c r="C29" s="14"/>
      <c r="D29" s="109" t="s">
        <v>52</v>
      </c>
      <c r="E29" s="14"/>
      <c r="F29" s="110"/>
      <c r="G29" s="14"/>
      <c r="H29" s="14"/>
      <c r="I29" s="14"/>
    </row>
    <row r="30" spans="1:4" ht="12.75">
      <c r="A30" s="28">
        <v>0.2</v>
      </c>
      <c r="B30" t="s">
        <v>58</v>
      </c>
      <c r="D30" s="31" t="s">
        <v>60</v>
      </c>
    </row>
    <row r="31" spans="1:4" ht="12.75">
      <c r="A31" s="26" t="s">
        <v>32</v>
      </c>
      <c r="D31" s="26" t="s">
        <v>1</v>
      </c>
    </row>
    <row r="32" ht="14.25">
      <c r="A32" s="26" t="s">
        <v>57</v>
      </c>
    </row>
  </sheetData>
  <mergeCells count="3">
    <mergeCell ref="C7:D7"/>
    <mergeCell ref="A3:B3"/>
    <mergeCell ref="A5:E5"/>
  </mergeCells>
  <printOptions/>
  <pageMargins left="0.75" right="0.75" top="1" bottom="1" header="0.5" footer="0.5"/>
  <pageSetup fitToHeight="1" fitToWidth="1" horizontalDpi="600" verticalDpi="600" orientation="landscape" scale="61" r:id="rId1"/>
  <headerFooter alignWithMargins="0">
    <oddHeader>&amp;CPropane Emission Calculations</oddHeader>
    <oddFooter>&amp;LDISCLAIMER:  NDEQ does not guarantee the accuracy and is not responsible for errors/omissions in the information contained herein.  All calculations are subject to review by NDEQ.</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NDEQ</dc:creator>
  <cp:keywords/>
  <dc:description/>
  <cp:lastModifiedBy>MS0112</cp:lastModifiedBy>
  <cp:lastPrinted>2005-08-19T15:20:21Z</cp:lastPrinted>
  <dcterms:created xsi:type="dcterms:W3CDTF">1999-08-02T19:26:55Z</dcterms:created>
  <dcterms:modified xsi:type="dcterms:W3CDTF">2005-10-25T18:27:21Z</dcterms:modified>
  <cp:category/>
  <cp:version/>
  <cp:contentType/>
  <cp:contentStatus/>
</cp:coreProperties>
</file>